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0870331\Desktop\"/>
    </mc:Choice>
  </mc:AlternateContent>
  <bookViews>
    <workbookView xWindow="120" yWindow="165" windowWidth="14340" windowHeight="9405" activeTab="2"/>
  </bookViews>
  <sheets>
    <sheet name="Capital Cost" sheetId="1" r:id="rId1"/>
    <sheet name="Energy Savings - Kwh" sheetId="2" r:id="rId2"/>
    <sheet name="Energy Savings - GJ" sheetId="3" r:id="rId3"/>
    <sheet name="D%$&amp;01_DevSheet" sheetId="4" state="veryHidden" r:id="rId4"/>
  </sheets>
  <calcPr calcId="152511"/>
</workbook>
</file>

<file path=xl/calcChain.xml><?xml version="1.0" encoding="utf-8"?>
<calcChain xmlns="http://schemas.openxmlformats.org/spreadsheetml/2006/main">
  <c r="F2" i="4" l="1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AA2" i="4"/>
  <c r="AB2" i="4"/>
  <c r="AC2" i="4"/>
  <c r="AD2" i="4"/>
  <c r="AE2" i="4"/>
  <c r="AF2" i="4"/>
  <c r="AG2" i="4"/>
  <c r="AH2" i="4"/>
  <c r="AI2" i="4"/>
  <c r="AJ2" i="4"/>
  <c r="AK2" i="4"/>
  <c r="AL2" i="4"/>
  <c r="AM2" i="4"/>
  <c r="AN2" i="4"/>
  <c r="AO2" i="4"/>
  <c r="AP2" i="4"/>
  <c r="AQ2" i="4"/>
  <c r="AR2" i="4"/>
  <c r="AS2" i="4"/>
  <c r="AT2" i="4"/>
  <c r="AU2" i="4"/>
  <c r="AV2" i="4"/>
  <c r="AW2" i="4"/>
  <c r="AX2" i="4"/>
  <c r="AY2" i="4"/>
  <c r="AZ2" i="4"/>
  <c r="BA2" i="4"/>
  <c r="BB2" i="4"/>
  <c r="BC2" i="4"/>
  <c r="BD2" i="4"/>
  <c r="BE2" i="4"/>
  <c r="BF2" i="4"/>
  <c r="BG2" i="4"/>
  <c r="BH2" i="4"/>
  <c r="BI2" i="4"/>
  <c r="BJ2" i="4"/>
  <c r="BK2" i="4"/>
  <c r="BL2" i="4"/>
  <c r="BM2" i="4"/>
  <c r="BN2" i="4"/>
  <c r="BO2" i="4"/>
  <c r="BP2" i="4"/>
  <c r="BQ2" i="4"/>
  <c r="BR2" i="4"/>
  <c r="BS2" i="4"/>
  <c r="BT2" i="4"/>
  <c r="BU2" i="4"/>
  <c r="BV2" i="4"/>
  <c r="BW2" i="4"/>
  <c r="BX2" i="4"/>
  <c r="BY2" i="4"/>
  <c r="BZ2" i="4"/>
  <c r="CA2" i="4"/>
  <c r="CB2" i="4"/>
  <c r="CC2" i="4"/>
  <c r="CD2" i="4"/>
  <c r="CE2" i="4"/>
  <c r="CF2" i="4"/>
  <c r="CG2" i="4"/>
  <c r="CH2" i="4"/>
  <c r="CI2" i="4"/>
  <c r="CJ2" i="4"/>
  <c r="CK2" i="4"/>
  <c r="CL2" i="4"/>
  <c r="CM2" i="4"/>
  <c r="CN2" i="4"/>
  <c r="CO2" i="4"/>
  <c r="CP2" i="4"/>
  <c r="CQ2" i="4"/>
  <c r="CR2" i="4"/>
  <c r="CS2" i="4"/>
  <c r="CT2" i="4"/>
  <c r="CU2" i="4"/>
  <c r="CV2" i="4"/>
  <c r="CW2" i="4"/>
  <c r="CX2" i="4"/>
  <c r="CY2" i="4"/>
  <c r="CZ2" i="4"/>
  <c r="DA2" i="4"/>
  <c r="DB2" i="4"/>
  <c r="DC2" i="4"/>
  <c r="DD2" i="4"/>
  <c r="DE2" i="4"/>
  <c r="DF2" i="4"/>
  <c r="DG2" i="4"/>
  <c r="DH2" i="4"/>
  <c r="DI2" i="4"/>
  <c r="DJ2" i="4"/>
  <c r="DK2" i="4"/>
  <c r="DL2" i="4"/>
  <c r="DM2" i="4"/>
  <c r="DN2" i="4"/>
  <c r="DO2" i="4"/>
  <c r="DP2" i="4"/>
  <c r="DQ2" i="4"/>
  <c r="DR2" i="4"/>
  <c r="DS2" i="4"/>
  <c r="DT2" i="4"/>
  <c r="DU2" i="4"/>
  <c r="DV2" i="4"/>
  <c r="DW2" i="4"/>
  <c r="DX2" i="4"/>
  <c r="DY2" i="4"/>
  <c r="DZ2" i="4"/>
  <c r="EA2" i="4"/>
  <c r="EB2" i="4"/>
  <c r="EC2" i="4"/>
  <c r="ED2" i="4"/>
  <c r="EE2" i="4"/>
  <c r="EF2" i="4"/>
  <c r="EG2" i="4"/>
  <c r="EH2" i="4"/>
  <c r="EI2" i="4"/>
  <c r="EJ2" i="4"/>
  <c r="EK2" i="4"/>
  <c r="EL2" i="4"/>
  <c r="EM2" i="4"/>
  <c r="EN2" i="4"/>
  <c r="EO2" i="4"/>
  <c r="EP2" i="4"/>
  <c r="EQ2" i="4"/>
  <c r="ER2" i="4"/>
  <c r="ES2" i="4"/>
  <c r="ET2" i="4"/>
  <c r="EU2" i="4"/>
  <c r="EV2" i="4"/>
  <c r="EW2" i="4"/>
  <c r="EX2" i="4"/>
  <c r="EY2" i="4"/>
  <c r="EZ2" i="4"/>
  <c r="FA2" i="4"/>
  <c r="FB2" i="4"/>
  <c r="FC2" i="4"/>
  <c r="FD2" i="4"/>
  <c r="FE2" i="4"/>
  <c r="FF2" i="4"/>
  <c r="FG2" i="4"/>
  <c r="FH2" i="4"/>
  <c r="FI2" i="4"/>
  <c r="FJ2" i="4"/>
  <c r="FK2" i="4"/>
  <c r="FL2" i="4"/>
  <c r="FM2" i="4"/>
  <c r="FN2" i="4"/>
  <c r="FO2" i="4"/>
  <c r="FP2" i="4"/>
  <c r="FQ2" i="4"/>
  <c r="FR2" i="4"/>
  <c r="FS2" i="4"/>
  <c r="FT2" i="4"/>
  <c r="FU2" i="4"/>
  <c r="FV2" i="4"/>
  <c r="FW2" i="4"/>
  <c r="FX2" i="4"/>
  <c r="FY2" i="4"/>
  <c r="FZ2" i="4"/>
  <c r="GA2" i="4"/>
  <c r="GB2" i="4"/>
  <c r="GC2" i="4"/>
  <c r="GD2" i="4"/>
  <c r="GE2" i="4"/>
  <c r="GF2" i="4"/>
  <c r="GG2" i="4"/>
  <c r="GH2" i="4"/>
  <c r="GI2" i="4"/>
  <c r="GJ2" i="4"/>
  <c r="GK2" i="4"/>
  <c r="GL2" i="4"/>
  <c r="GM2" i="4"/>
  <c r="GN2" i="4"/>
  <c r="GO2" i="4"/>
  <c r="GP2" i="4"/>
  <c r="GQ2" i="4"/>
  <c r="GR2" i="4"/>
  <c r="GS2" i="4"/>
  <c r="GT2" i="4"/>
  <c r="GU2" i="4"/>
  <c r="GV2" i="4"/>
  <c r="GW2" i="4"/>
  <c r="GX2" i="4"/>
  <c r="GY2" i="4"/>
  <c r="GZ2" i="4"/>
  <c r="HA2" i="4"/>
  <c r="HB2" i="4"/>
  <c r="HC2" i="4"/>
  <c r="HD2" i="4"/>
  <c r="HE2" i="4"/>
  <c r="HF2" i="4"/>
  <c r="HG2" i="4"/>
  <c r="HH2" i="4"/>
  <c r="HI2" i="4"/>
  <c r="HJ2" i="4"/>
  <c r="HK2" i="4"/>
  <c r="HL2" i="4"/>
  <c r="HM2" i="4"/>
  <c r="HN2" i="4"/>
  <c r="HO2" i="4"/>
  <c r="HP2" i="4"/>
  <c r="HQ2" i="4"/>
  <c r="HR2" i="4"/>
  <c r="HS2" i="4"/>
  <c r="HT2" i="4"/>
  <c r="HU2" i="4"/>
  <c r="HV2" i="4"/>
  <c r="HW2" i="4"/>
  <c r="HX2" i="4"/>
  <c r="HY2" i="4"/>
  <c r="HZ2" i="4"/>
  <c r="IA2" i="4"/>
  <c r="IB2" i="4"/>
  <c r="IC2" i="4"/>
  <c r="ID2" i="4"/>
  <c r="IE2" i="4"/>
  <c r="IF2" i="4"/>
  <c r="IG2" i="4"/>
  <c r="IH2" i="4"/>
  <c r="II2" i="4"/>
  <c r="IJ2" i="4"/>
  <c r="IK2" i="4"/>
  <c r="IL2" i="4"/>
  <c r="IM2" i="4"/>
  <c r="IN2" i="4"/>
  <c r="IO2" i="4"/>
  <c r="IP2" i="4"/>
  <c r="IQ2" i="4"/>
  <c r="IR2" i="4"/>
  <c r="IS2" i="4"/>
  <c r="IT2" i="4"/>
  <c r="IU2" i="4"/>
  <c r="IV2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V3" i="4"/>
  <c r="AW3" i="4"/>
  <c r="AX3" i="4"/>
  <c r="AY3" i="4"/>
  <c r="AZ3" i="4"/>
  <c r="BA3" i="4"/>
  <c r="BB3" i="4"/>
  <c r="BC3" i="4"/>
  <c r="BD3" i="4"/>
  <c r="BE3" i="4"/>
  <c r="BF3" i="4"/>
  <c r="BG3" i="4"/>
  <c r="BH3" i="4"/>
  <c r="BI3" i="4"/>
  <c r="BJ3" i="4"/>
  <c r="BK3" i="4"/>
  <c r="BL3" i="4"/>
  <c r="BM3" i="4"/>
  <c r="BN3" i="4"/>
  <c r="BO3" i="4"/>
  <c r="BP3" i="4"/>
  <c r="BQ3" i="4"/>
  <c r="BR3" i="4"/>
  <c r="BS3" i="4"/>
  <c r="BT3" i="4"/>
  <c r="BU3" i="4"/>
  <c r="BV3" i="4"/>
  <c r="BW3" i="4"/>
  <c r="BX3" i="4"/>
  <c r="BY3" i="4"/>
  <c r="BZ3" i="4"/>
  <c r="CA3" i="4"/>
  <c r="CB3" i="4"/>
  <c r="CC3" i="4"/>
  <c r="CD3" i="4"/>
  <c r="CE3" i="4"/>
  <c r="CF3" i="4"/>
  <c r="CG3" i="4"/>
  <c r="CH3" i="4"/>
  <c r="CI3" i="4"/>
  <c r="CJ3" i="4"/>
  <c r="CK3" i="4"/>
  <c r="CL3" i="4"/>
  <c r="CM3" i="4"/>
  <c r="CN3" i="4"/>
  <c r="CO3" i="4"/>
  <c r="CP3" i="4"/>
  <c r="CQ3" i="4"/>
  <c r="CR3" i="4"/>
  <c r="CS3" i="4"/>
  <c r="CT3" i="4"/>
  <c r="CU3" i="4"/>
  <c r="CV3" i="4"/>
  <c r="CW3" i="4"/>
  <c r="CX3" i="4"/>
  <c r="CY3" i="4"/>
  <c r="CZ3" i="4"/>
  <c r="DA3" i="4"/>
  <c r="DB3" i="4"/>
  <c r="DC3" i="4"/>
  <c r="DD3" i="4"/>
  <c r="DE3" i="4"/>
  <c r="DF3" i="4"/>
  <c r="DG3" i="4"/>
  <c r="DH3" i="4"/>
  <c r="DI3" i="4"/>
  <c r="DJ3" i="4"/>
  <c r="DK3" i="4"/>
  <c r="DL3" i="4"/>
  <c r="DM3" i="4"/>
  <c r="DN3" i="4"/>
  <c r="DO3" i="4"/>
  <c r="DP3" i="4"/>
  <c r="DQ3" i="4"/>
  <c r="DR3" i="4"/>
  <c r="DS3" i="4"/>
  <c r="DT3" i="4"/>
  <c r="DU3" i="4"/>
  <c r="DV3" i="4"/>
  <c r="DW3" i="4"/>
  <c r="DX3" i="4"/>
  <c r="DY3" i="4"/>
  <c r="DZ3" i="4"/>
  <c r="EA3" i="4"/>
  <c r="EB3" i="4"/>
  <c r="EC3" i="4"/>
  <c r="ED3" i="4"/>
  <c r="EE3" i="4"/>
  <c r="EF3" i="4"/>
  <c r="EG3" i="4"/>
  <c r="EH3" i="4"/>
  <c r="EI3" i="4"/>
  <c r="EJ3" i="4"/>
  <c r="EK3" i="4"/>
  <c r="EL3" i="4"/>
  <c r="EM3" i="4"/>
  <c r="EN3" i="4"/>
  <c r="EO3" i="4"/>
  <c r="EP3" i="4"/>
  <c r="EQ3" i="4"/>
  <c r="ER3" i="4"/>
  <c r="ES3" i="4"/>
  <c r="ET3" i="4"/>
  <c r="EU3" i="4"/>
  <c r="EV3" i="4"/>
  <c r="EW3" i="4"/>
  <c r="EX3" i="4"/>
  <c r="EY3" i="4"/>
  <c r="EZ3" i="4"/>
  <c r="FA3" i="4"/>
  <c r="FB3" i="4"/>
  <c r="FC3" i="4"/>
  <c r="FD3" i="4"/>
  <c r="FE3" i="4"/>
  <c r="FF3" i="4"/>
  <c r="FG3" i="4"/>
  <c r="FH3" i="4"/>
  <c r="FI3" i="4"/>
  <c r="FJ3" i="4"/>
  <c r="FK3" i="4"/>
  <c r="FL3" i="4"/>
  <c r="FM3" i="4"/>
  <c r="FN3" i="4"/>
  <c r="FO3" i="4"/>
  <c r="FP3" i="4"/>
  <c r="FQ3" i="4"/>
  <c r="FR3" i="4"/>
  <c r="FS3" i="4"/>
  <c r="FT3" i="4"/>
  <c r="FU3" i="4"/>
  <c r="FV3" i="4"/>
  <c r="FW3" i="4"/>
  <c r="FX3" i="4"/>
  <c r="FY3" i="4"/>
  <c r="FZ3" i="4"/>
  <c r="GA3" i="4"/>
  <c r="GB3" i="4"/>
  <c r="GC3" i="4"/>
  <c r="GD3" i="4"/>
  <c r="GE3" i="4"/>
  <c r="GF3" i="4"/>
  <c r="GG3" i="4"/>
  <c r="GH3" i="4"/>
  <c r="GI3" i="4"/>
  <c r="GJ3" i="4"/>
  <c r="GK3" i="4"/>
  <c r="GL3" i="4"/>
  <c r="GM3" i="4"/>
  <c r="GN3" i="4"/>
  <c r="GO3" i="4"/>
  <c r="GP3" i="4"/>
  <c r="GQ3" i="4"/>
  <c r="GR3" i="4"/>
  <c r="GS3" i="4"/>
  <c r="GT3" i="4"/>
  <c r="GU3" i="4"/>
  <c r="GV3" i="4"/>
  <c r="GW3" i="4"/>
  <c r="GX3" i="4"/>
  <c r="GY3" i="4"/>
  <c r="GZ3" i="4"/>
  <c r="HA3" i="4"/>
  <c r="HB3" i="4"/>
  <c r="HC3" i="4"/>
  <c r="HD3" i="4"/>
  <c r="HE3" i="4"/>
  <c r="HF3" i="4"/>
  <c r="HG3" i="4"/>
  <c r="HH3" i="4"/>
  <c r="HI3" i="4"/>
  <c r="HJ3" i="4"/>
  <c r="HK3" i="4"/>
  <c r="HL3" i="4"/>
  <c r="HM3" i="4"/>
  <c r="HN3" i="4"/>
  <c r="HO3" i="4"/>
  <c r="HP3" i="4"/>
  <c r="HQ3" i="4"/>
  <c r="HR3" i="4"/>
  <c r="HS3" i="4"/>
  <c r="HT3" i="4"/>
  <c r="HU3" i="4"/>
  <c r="HV3" i="4"/>
  <c r="HW3" i="4"/>
  <c r="HX3" i="4"/>
  <c r="HY3" i="4"/>
  <c r="HZ3" i="4"/>
  <c r="IA3" i="4"/>
  <c r="IB3" i="4"/>
  <c r="IC3" i="4"/>
  <c r="ID3" i="4"/>
  <c r="IE3" i="4"/>
  <c r="IF3" i="4"/>
  <c r="IG3" i="4"/>
  <c r="IH3" i="4"/>
  <c r="II3" i="4"/>
  <c r="IJ3" i="4"/>
  <c r="IK3" i="4"/>
  <c r="IL3" i="4"/>
  <c r="IM3" i="4"/>
  <c r="IN3" i="4"/>
  <c r="IO3" i="4"/>
  <c r="IP3" i="4"/>
  <c r="IQ3" i="4"/>
  <c r="IR3" i="4"/>
  <c r="IS3" i="4"/>
  <c r="IT3" i="4"/>
  <c r="IU3" i="4"/>
  <c r="IV3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BE4" i="4"/>
  <c r="BF4" i="4"/>
  <c r="BG4" i="4"/>
  <c r="BH4" i="4"/>
  <c r="BI4" i="4"/>
  <c r="BJ4" i="4"/>
  <c r="BK4" i="4"/>
  <c r="BL4" i="4"/>
  <c r="BM4" i="4"/>
  <c r="BN4" i="4"/>
  <c r="BO4" i="4"/>
  <c r="BP4" i="4"/>
  <c r="BQ4" i="4"/>
  <c r="BR4" i="4"/>
  <c r="BS4" i="4"/>
  <c r="BT4" i="4"/>
  <c r="BU4" i="4"/>
  <c r="BV4" i="4"/>
  <c r="BW4" i="4"/>
  <c r="BX4" i="4"/>
  <c r="BY4" i="4"/>
  <c r="BZ4" i="4"/>
  <c r="CA4" i="4"/>
  <c r="CB4" i="4"/>
  <c r="CC4" i="4"/>
  <c r="CD4" i="4"/>
  <c r="CE4" i="4"/>
  <c r="CF4" i="4"/>
  <c r="CG4" i="4"/>
  <c r="CH4" i="4"/>
  <c r="CI4" i="4"/>
  <c r="CJ4" i="4"/>
  <c r="CK4" i="4"/>
  <c r="CL4" i="4"/>
  <c r="CM4" i="4"/>
  <c r="CN4" i="4"/>
  <c r="CO4" i="4"/>
  <c r="CP4" i="4"/>
  <c r="CQ4" i="4"/>
  <c r="CR4" i="4"/>
  <c r="CS4" i="4"/>
  <c r="CT4" i="4"/>
  <c r="CU4" i="4"/>
  <c r="CV4" i="4"/>
  <c r="CW4" i="4"/>
  <c r="CX4" i="4"/>
  <c r="CY4" i="4"/>
  <c r="CZ4" i="4"/>
  <c r="DA4" i="4"/>
  <c r="DB4" i="4"/>
  <c r="DC4" i="4"/>
  <c r="DD4" i="4"/>
  <c r="DE4" i="4"/>
  <c r="DF4" i="4"/>
  <c r="DG4" i="4"/>
  <c r="DH4" i="4"/>
  <c r="DI4" i="4"/>
  <c r="DJ4" i="4"/>
  <c r="DK4" i="4"/>
  <c r="DL4" i="4"/>
  <c r="DM4" i="4"/>
  <c r="DN4" i="4"/>
  <c r="DO4" i="4"/>
  <c r="DP4" i="4"/>
  <c r="DQ4" i="4"/>
  <c r="DR4" i="4"/>
  <c r="DS4" i="4"/>
  <c r="DT4" i="4"/>
  <c r="DU4" i="4"/>
  <c r="DV4" i="4"/>
  <c r="DW4" i="4"/>
  <c r="DX4" i="4"/>
  <c r="DY4" i="4"/>
  <c r="DZ4" i="4"/>
  <c r="EA4" i="4"/>
  <c r="EB4" i="4"/>
  <c r="EC4" i="4"/>
  <c r="ED4" i="4"/>
  <c r="EE4" i="4"/>
  <c r="EF4" i="4"/>
  <c r="EG4" i="4"/>
  <c r="EH4" i="4"/>
  <c r="EI4" i="4"/>
  <c r="EJ4" i="4"/>
  <c r="EK4" i="4"/>
  <c r="EL4" i="4"/>
  <c r="EM4" i="4"/>
  <c r="EN4" i="4"/>
  <c r="EO4" i="4"/>
  <c r="EP4" i="4"/>
  <c r="EQ4" i="4"/>
  <c r="ER4" i="4"/>
  <c r="ES4" i="4"/>
  <c r="ET4" i="4"/>
  <c r="EU4" i="4"/>
  <c r="EV4" i="4"/>
  <c r="EW4" i="4"/>
  <c r="EX4" i="4"/>
  <c r="EY4" i="4"/>
  <c r="EZ4" i="4"/>
  <c r="FA4" i="4"/>
  <c r="FB4" i="4"/>
  <c r="FC4" i="4"/>
  <c r="FD4" i="4"/>
  <c r="FE4" i="4"/>
  <c r="FF4" i="4"/>
  <c r="FG4" i="4"/>
  <c r="FH4" i="4"/>
  <c r="FI4" i="4"/>
  <c r="FJ4" i="4"/>
  <c r="FK4" i="4"/>
  <c r="FL4" i="4"/>
  <c r="FM4" i="4"/>
  <c r="FN4" i="4"/>
  <c r="FO4" i="4"/>
  <c r="FP4" i="4"/>
  <c r="FQ4" i="4"/>
  <c r="FR4" i="4"/>
  <c r="FS4" i="4"/>
  <c r="FT4" i="4"/>
  <c r="FU4" i="4"/>
  <c r="FV4" i="4"/>
  <c r="FW4" i="4"/>
  <c r="FX4" i="4"/>
  <c r="FY4" i="4"/>
  <c r="FZ4" i="4"/>
  <c r="GA4" i="4"/>
  <c r="GB4" i="4"/>
  <c r="GC4" i="4"/>
  <c r="GD4" i="4"/>
  <c r="GE4" i="4"/>
  <c r="GF4" i="4"/>
  <c r="GG4" i="4"/>
  <c r="GH4" i="4"/>
  <c r="GI4" i="4"/>
  <c r="GJ4" i="4"/>
  <c r="GK4" i="4"/>
  <c r="GL4" i="4"/>
  <c r="GM4" i="4"/>
  <c r="GN4" i="4"/>
  <c r="GO4" i="4"/>
  <c r="GP4" i="4"/>
  <c r="GQ4" i="4"/>
  <c r="GR4" i="4"/>
  <c r="GS4" i="4"/>
  <c r="GT4" i="4"/>
  <c r="GU4" i="4"/>
  <c r="GV4" i="4"/>
  <c r="GW4" i="4"/>
  <c r="GX4" i="4"/>
  <c r="GY4" i="4"/>
  <c r="GZ4" i="4"/>
  <c r="HA4" i="4"/>
  <c r="HB4" i="4"/>
  <c r="HC4" i="4"/>
  <c r="HD4" i="4"/>
  <c r="HE4" i="4"/>
  <c r="HF4" i="4"/>
  <c r="HG4" i="4"/>
  <c r="HH4" i="4"/>
  <c r="HI4" i="4"/>
  <c r="HJ4" i="4"/>
  <c r="HK4" i="4"/>
  <c r="HL4" i="4"/>
  <c r="HM4" i="4"/>
  <c r="HN4" i="4"/>
  <c r="HO4" i="4"/>
  <c r="HP4" i="4"/>
  <c r="HQ4" i="4"/>
  <c r="HR4" i="4"/>
  <c r="HS4" i="4"/>
  <c r="HT4" i="4"/>
  <c r="HU4" i="4"/>
  <c r="HV4" i="4"/>
  <c r="HW4" i="4"/>
  <c r="HX4" i="4"/>
  <c r="HY4" i="4"/>
  <c r="HZ4" i="4"/>
  <c r="IA4" i="4"/>
  <c r="IB4" i="4"/>
  <c r="IC4" i="4"/>
  <c r="ID4" i="4"/>
  <c r="IE4" i="4"/>
  <c r="IF4" i="4"/>
  <c r="IG4" i="4"/>
  <c r="IH4" i="4"/>
  <c r="II4" i="4"/>
  <c r="IJ4" i="4"/>
  <c r="IK4" i="4"/>
  <c r="IL4" i="4"/>
  <c r="IM4" i="4"/>
  <c r="IN4" i="4"/>
  <c r="IO4" i="4"/>
  <c r="IP4" i="4"/>
  <c r="IQ4" i="4"/>
  <c r="IR4" i="4"/>
  <c r="IS4" i="4"/>
  <c r="IT4" i="4"/>
  <c r="IU4" i="4"/>
  <c r="IV4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K5" i="4"/>
  <c r="BL5" i="4"/>
  <c r="BM5" i="4"/>
  <c r="BN5" i="4"/>
  <c r="BO5" i="4"/>
  <c r="BP5" i="4"/>
  <c r="BQ5" i="4"/>
  <c r="BR5" i="4"/>
  <c r="BS5" i="4"/>
  <c r="BT5" i="4"/>
  <c r="BU5" i="4"/>
  <c r="BV5" i="4"/>
  <c r="BW5" i="4"/>
  <c r="BX5" i="4"/>
  <c r="BY5" i="4"/>
  <c r="BZ5" i="4"/>
  <c r="CA5" i="4"/>
  <c r="CB5" i="4"/>
  <c r="CC5" i="4"/>
  <c r="CD5" i="4"/>
  <c r="CE5" i="4"/>
  <c r="CF5" i="4"/>
  <c r="CG5" i="4"/>
  <c r="CH5" i="4"/>
  <c r="CI5" i="4"/>
  <c r="CJ5" i="4"/>
  <c r="CK5" i="4"/>
  <c r="CL5" i="4"/>
  <c r="CM5" i="4"/>
  <c r="CN5" i="4"/>
  <c r="CO5" i="4"/>
  <c r="CP5" i="4"/>
  <c r="CQ5" i="4"/>
  <c r="CR5" i="4"/>
  <c r="CS5" i="4"/>
  <c r="CT5" i="4"/>
  <c r="CU5" i="4"/>
  <c r="CV5" i="4"/>
  <c r="CW5" i="4"/>
  <c r="CX5" i="4"/>
  <c r="CY5" i="4"/>
  <c r="CZ5" i="4"/>
  <c r="DA5" i="4"/>
  <c r="DB5" i="4"/>
  <c r="DC5" i="4"/>
  <c r="DD5" i="4"/>
  <c r="DE5" i="4"/>
  <c r="DF5" i="4"/>
  <c r="DG5" i="4"/>
  <c r="DH5" i="4"/>
  <c r="DI5" i="4"/>
  <c r="DJ5" i="4"/>
  <c r="DK5" i="4"/>
  <c r="DL5" i="4"/>
  <c r="DM5" i="4"/>
  <c r="DN5" i="4"/>
  <c r="DO5" i="4"/>
  <c r="DP5" i="4"/>
  <c r="DQ5" i="4"/>
  <c r="DR5" i="4"/>
  <c r="DS5" i="4"/>
  <c r="DT5" i="4"/>
  <c r="DU5" i="4"/>
  <c r="DV5" i="4"/>
  <c r="DW5" i="4"/>
  <c r="DX5" i="4"/>
  <c r="DY5" i="4"/>
  <c r="DZ5" i="4"/>
  <c r="EA5" i="4"/>
  <c r="EB5" i="4"/>
  <c r="EC5" i="4"/>
  <c r="ED5" i="4"/>
  <c r="EE5" i="4"/>
  <c r="EF5" i="4"/>
  <c r="EG5" i="4"/>
  <c r="EH5" i="4"/>
  <c r="EI5" i="4"/>
  <c r="EJ5" i="4"/>
  <c r="EK5" i="4"/>
  <c r="EL5" i="4"/>
  <c r="EM5" i="4"/>
  <c r="EN5" i="4"/>
  <c r="EO5" i="4"/>
  <c r="EP5" i="4"/>
  <c r="EQ5" i="4"/>
  <c r="ER5" i="4"/>
  <c r="ES5" i="4"/>
  <c r="ET5" i="4"/>
  <c r="EU5" i="4"/>
  <c r="EV5" i="4"/>
  <c r="EW5" i="4"/>
  <c r="EX5" i="4"/>
  <c r="EY5" i="4"/>
  <c r="EZ5" i="4"/>
  <c r="FA5" i="4"/>
  <c r="FB5" i="4"/>
  <c r="FC5" i="4"/>
  <c r="FD5" i="4"/>
  <c r="FE5" i="4"/>
  <c r="FF5" i="4"/>
  <c r="FG5" i="4"/>
  <c r="FH5" i="4"/>
  <c r="FI5" i="4"/>
  <c r="FJ5" i="4"/>
  <c r="FK5" i="4"/>
  <c r="FL5" i="4"/>
  <c r="FM5" i="4"/>
  <c r="FN5" i="4"/>
  <c r="FO5" i="4"/>
  <c r="FP5" i="4"/>
  <c r="FQ5" i="4"/>
  <c r="FR5" i="4"/>
  <c r="FS5" i="4"/>
  <c r="FT5" i="4"/>
  <c r="FU5" i="4"/>
  <c r="FV5" i="4"/>
  <c r="FW5" i="4"/>
  <c r="FX5" i="4"/>
  <c r="FY5" i="4"/>
  <c r="FZ5" i="4"/>
  <c r="GA5" i="4"/>
  <c r="GB5" i="4"/>
  <c r="GC5" i="4"/>
  <c r="GD5" i="4"/>
  <c r="GE5" i="4"/>
  <c r="GF5" i="4"/>
  <c r="GG5" i="4"/>
  <c r="GH5" i="4"/>
  <c r="GI5" i="4"/>
  <c r="GJ5" i="4"/>
  <c r="GK5" i="4"/>
  <c r="GL5" i="4"/>
  <c r="GM5" i="4"/>
  <c r="GN5" i="4"/>
  <c r="GO5" i="4"/>
  <c r="GP5" i="4"/>
  <c r="GQ5" i="4"/>
  <c r="GR5" i="4"/>
  <c r="GS5" i="4"/>
  <c r="GT5" i="4"/>
  <c r="GU5" i="4"/>
  <c r="GV5" i="4"/>
  <c r="GW5" i="4"/>
  <c r="GX5" i="4"/>
  <c r="GY5" i="4"/>
  <c r="GZ5" i="4"/>
  <c r="HA5" i="4"/>
  <c r="HB5" i="4"/>
  <c r="HC5" i="4"/>
  <c r="HD5" i="4"/>
  <c r="HE5" i="4"/>
  <c r="HF5" i="4"/>
  <c r="HG5" i="4"/>
  <c r="HH5" i="4"/>
  <c r="HI5" i="4"/>
  <c r="HJ5" i="4"/>
  <c r="HK5" i="4"/>
  <c r="HL5" i="4"/>
  <c r="HM5" i="4"/>
  <c r="HN5" i="4"/>
  <c r="HO5" i="4"/>
  <c r="HP5" i="4"/>
  <c r="HQ5" i="4"/>
  <c r="HR5" i="4"/>
  <c r="HS5" i="4"/>
  <c r="HT5" i="4"/>
  <c r="HU5" i="4"/>
  <c r="HV5" i="4"/>
  <c r="HW5" i="4"/>
  <c r="HX5" i="4"/>
  <c r="HY5" i="4"/>
  <c r="HZ5" i="4"/>
  <c r="IA5" i="4"/>
  <c r="IB5" i="4"/>
  <c r="IC5" i="4"/>
  <c r="ID5" i="4"/>
  <c r="IE5" i="4"/>
  <c r="IF5" i="4"/>
  <c r="IG5" i="4"/>
  <c r="IH5" i="4"/>
  <c r="II5" i="4"/>
  <c r="IJ5" i="4"/>
  <c r="IK5" i="4"/>
  <c r="IL5" i="4"/>
  <c r="IM5" i="4"/>
  <c r="IN5" i="4"/>
  <c r="IO5" i="4"/>
  <c r="IP5" i="4"/>
  <c r="IQ5" i="4"/>
  <c r="IR5" i="4"/>
  <c r="IS5" i="4"/>
  <c r="IT5" i="4"/>
  <c r="IU5" i="4"/>
  <c r="IV5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BG6" i="4"/>
  <c r="BH6" i="4"/>
  <c r="BI6" i="4"/>
  <c r="BJ6" i="4"/>
  <c r="BK6" i="4"/>
  <c r="BL6" i="4"/>
  <c r="BM6" i="4"/>
  <c r="BN6" i="4"/>
  <c r="BO6" i="4"/>
  <c r="BP6" i="4"/>
  <c r="BQ6" i="4"/>
  <c r="BR6" i="4"/>
  <c r="BS6" i="4"/>
  <c r="BT6" i="4"/>
  <c r="BU6" i="4"/>
  <c r="BV6" i="4"/>
  <c r="BW6" i="4"/>
  <c r="BX6" i="4"/>
  <c r="BY6" i="4"/>
  <c r="BZ6" i="4"/>
  <c r="CA6" i="4"/>
  <c r="CB6" i="4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Z1" i="4"/>
  <c r="AA1" i="4"/>
  <c r="AB1" i="4"/>
  <c r="AC1" i="4"/>
  <c r="AD1" i="4"/>
  <c r="AE1" i="4"/>
  <c r="AF1" i="4"/>
  <c r="AG1" i="4"/>
  <c r="AH1" i="4"/>
  <c r="AI1" i="4"/>
  <c r="AJ1" i="4"/>
  <c r="AK1" i="4"/>
  <c r="AL1" i="4"/>
  <c r="AM1" i="4"/>
  <c r="AN1" i="4"/>
  <c r="AO1" i="4"/>
  <c r="AP1" i="4"/>
  <c r="AQ1" i="4"/>
  <c r="AR1" i="4"/>
  <c r="AS1" i="4"/>
  <c r="AT1" i="4"/>
  <c r="AU1" i="4"/>
  <c r="AV1" i="4"/>
  <c r="AW1" i="4"/>
  <c r="AX1" i="4"/>
  <c r="AY1" i="4"/>
  <c r="AZ1" i="4"/>
  <c r="BA1" i="4"/>
  <c r="BB1" i="4"/>
  <c r="BC1" i="4"/>
  <c r="BD1" i="4"/>
  <c r="BE1" i="4"/>
  <c r="BF1" i="4"/>
  <c r="BG1" i="4"/>
  <c r="BH1" i="4"/>
  <c r="BI1" i="4"/>
  <c r="BJ1" i="4"/>
  <c r="BK1" i="4"/>
  <c r="BL1" i="4"/>
  <c r="BM1" i="4"/>
  <c r="BN1" i="4"/>
  <c r="BO1" i="4"/>
  <c r="BP1" i="4"/>
  <c r="BQ1" i="4"/>
  <c r="BR1" i="4"/>
  <c r="BS1" i="4"/>
  <c r="BT1" i="4"/>
  <c r="BU1" i="4"/>
  <c r="BV1" i="4"/>
  <c r="BW1" i="4"/>
  <c r="BX1" i="4"/>
  <c r="BY1" i="4"/>
  <c r="BZ1" i="4"/>
  <c r="CA1" i="4"/>
  <c r="CB1" i="4"/>
  <c r="CC1" i="4"/>
  <c r="CD1" i="4"/>
  <c r="CE1" i="4"/>
  <c r="CF1" i="4"/>
  <c r="CG1" i="4"/>
  <c r="CH1" i="4"/>
  <c r="CI1" i="4"/>
  <c r="CJ1" i="4"/>
  <c r="CK1" i="4"/>
  <c r="CL1" i="4"/>
  <c r="CM1" i="4"/>
  <c r="CN1" i="4"/>
  <c r="CO1" i="4"/>
  <c r="CP1" i="4"/>
  <c r="CQ1" i="4"/>
  <c r="CR1" i="4"/>
  <c r="CS1" i="4"/>
  <c r="CT1" i="4"/>
  <c r="CU1" i="4"/>
  <c r="CV1" i="4"/>
  <c r="CW1" i="4"/>
  <c r="CX1" i="4"/>
  <c r="CY1" i="4"/>
  <c r="CZ1" i="4"/>
  <c r="DA1" i="4"/>
  <c r="DB1" i="4"/>
  <c r="DC1" i="4"/>
  <c r="DD1" i="4"/>
  <c r="DE1" i="4"/>
  <c r="DF1" i="4"/>
  <c r="DG1" i="4"/>
  <c r="DH1" i="4"/>
  <c r="DI1" i="4"/>
  <c r="DJ1" i="4"/>
  <c r="DK1" i="4"/>
  <c r="DL1" i="4"/>
  <c r="DM1" i="4"/>
  <c r="DN1" i="4"/>
  <c r="DO1" i="4"/>
  <c r="DP1" i="4"/>
  <c r="DQ1" i="4"/>
  <c r="DR1" i="4"/>
  <c r="DS1" i="4"/>
  <c r="DT1" i="4"/>
  <c r="DU1" i="4"/>
  <c r="DV1" i="4"/>
  <c r="DW1" i="4"/>
  <c r="DX1" i="4"/>
  <c r="DY1" i="4"/>
  <c r="DZ1" i="4"/>
  <c r="EA1" i="4"/>
  <c r="EB1" i="4"/>
  <c r="EC1" i="4"/>
  <c r="ED1" i="4"/>
  <c r="EE1" i="4"/>
  <c r="EF1" i="4"/>
  <c r="EG1" i="4"/>
  <c r="EH1" i="4"/>
  <c r="EI1" i="4"/>
  <c r="EJ1" i="4"/>
  <c r="EK1" i="4"/>
  <c r="EL1" i="4"/>
  <c r="EM1" i="4"/>
  <c r="EN1" i="4"/>
  <c r="EO1" i="4"/>
  <c r="EP1" i="4"/>
  <c r="EQ1" i="4"/>
  <c r="ER1" i="4"/>
  <c r="ES1" i="4"/>
  <c r="ET1" i="4"/>
  <c r="EU1" i="4"/>
  <c r="EV1" i="4"/>
  <c r="EW1" i="4"/>
  <c r="EX1" i="4"/>
  <c r="EY1" i="4"/>
  <c r="EZ1" i="4"/>
  <c r="FA1" i="4"/>
  <c r="FB1" i="4"/>
  <c r="FC1" i="4"/>
  <c r="FD1" i="4"/>
  <c r="FE1" i="4"/>
  <c r="FF1" i="4"/>
  <c r="FG1" i="4"/>
  <c r="FH1" i="4"/>
  <c r="FI1" i="4"/>
  <c r="FJ1" i="4"/>
  <c r="FK1" i="4"/>
  <c r="FL1" i="4"/>
  <c r="FM1" i="4"/>
  <c r="FN1" i="4"/>
  <c r="FO1" i="4"/>
  <c r="FP1" i="4"/>
  <c r="FQ1" i="4"/>
  <c r="FR1" i="4"/>
  <c r="FS1" i="4"/>
  <c r="FT1" i="4"/>
  <c r="FU1" i="4"/>
  <c r="FV1" i="4"/>
  <c r="FW1" i="4"/>
  <c r="FX1" i="4"/>
  <c r="FY1" i="4"/>
  <c r="FZ1" i="4"/>
  <c r="GA1" i="4"/>
  <c r="GB1" i="4"/>
  <c r="GC1" i="4"/>
  <c r="GD1" i="4"/>
  <c r="GE1" i="4"/>
  <c r="GF1" i="4"/>
  <c r="GG1" i="4"/>
  <c r="GH1" i="4"/>
  <c r="GI1" i="4"/>
  <c r="GJ1" i="4"/>
  <c r="GK1" i="4"/>
  <c r="GL1" i="4"/>
  <c r="GM1" i="4"/>
  <c r="GN1" i="4"/>
  <c r="GO1" i="4"/>
  <c r="GP1" i="4"/>
  <c r="GQ1" i="4"/>
  <c r="GR1" i="4"/>
  <c r="GS1" i="4"/>
  <c r="GT1" i="4"/>
  <c r="GU1" i="4"/>
  <c r="GV1" i="4"/>
  <c r="GW1" i="4"/>
  <c r="GX1" i="4"/>
  <c r="GY1" i="4"/>
  <c r="GZ1" i="4"/>
  <c r="HA1" i="4"/>
  <c r="HB1" i="4"/>
  <c r="HC1" i="4"/>
  <c r="HD1" i="4"/>
  <c r="HE1" i="4"/>
  <c r="HF1" i="4"/>
  <c r="HG1" i="4"/>
  <c r="HH1" i="4"/>
  <c r="HI1" i="4"/>
  <c r="HJ1" i="4"/>
  <c r="HK1" i="4"/>
  <c r="HL1" i="4"/>
  <c r="HM1" i="4"/>
  <c r="HN1" i="4"/>
  <c r="HO1" i="4"/>
  <c r="HP1" i="4"/>
  <c r="HQ1" i="4"/>
  <c r="HR1" i="4"/>
  <c r="HS1" i="4"/>
  <c r="HT1" i="4"/>
  <c r="HU1" i="4"/>
  <c r="HV1" i="4"/>
  <c r="HW1" i="4"/>
  <c r="HX1" i="4"/>
  <c r="HY1" i="4"/>
  <c r="HZ1" i="4"/>
  <c r="IA1" i="4"/>
  <c r="IB1" i="4"/>
  <c r="IC1" i="4"/>
  <c r="ID1" i="4"/>
  <c r="IE1" i="4"/>
  <c r="IF1" i="4"/>
  <c r="IG1" i="4"/>
  <c r="IH1" i="4"/>
  <c r="II1" i="4"/>
  <c r="IJ1" i="4"/>
  <c r="IK1" i="4"/>
  <c r="IL1" i="4"/>
  <c r="IM1" i="4"/>
  <c r="IN1" i="4"/>
  <c r="IO1" i="4"/>
  <c r="IP1" i="4"/>
  <c r="IQ1" i="4"/>
  <c r="IR1" i="4"/>
  <c r="IS1" i="4"/>
  <c r="IT1" i="4"/>
  <c r="IU1" i="4"/>
  <c r="IV1" i="4"/>
  <c r="M20" i="3"/>
  <c r="B50" i="3"/>
  <c r="M7" i="3" l="1"/>
  <c r="M14" i="3" s="1"/>
  <c r="M23" i="3"/>
  <c r="M25" i="3" l="1"/>
  <c r="M26" i="3" s="1"/>
  <c r="M28" i="3" s="1"/>
  <c r="C7" i="3" l="1"/>
  <c r="C23" i="3" l="1"/>
  <c r="C14" i="3"/>
  <c r="C25" i="3" l="1"/>
  <c r="C26" i="3" s="1"/>
  <c r="C28" i="3" s="1"/>
  <c r="K23" i="2"/>
  <c r="B23" i="2"/>
  <c r="N7" i="2"/>
  <c r="N9" i="2" s="1"/>
  <c r="L22" i="2" s="1"/>
  <c r="E7" i="2"/>
  <c r="E9" i="2" s="1"/>
  <c r="C20" i="2" s="1"/>
  <c r="K8" i="2"/>
  <c r="B8" i="2"/>
  <c r="C30" i="2" l="1"/>
  <c r="B40" i="2" s="1"/>
  <c r="D13" i="2"/>
  <c r="D19" i="2"/>
  <c r="D15" i="2"/>
  <c r="D22" i="2"/>
  <c r="D18" i="2"/>
  <c r="D14" i="2"/>
  <c r="D21" i="2"/>
  <c r="D17" i="2"/>
  <c r="D20" i="2"/>
  <c r="D16" i="2"/>
  <c r="E10" i="2"/>
  <c r="M13" i="2"/>
  <c r="M22" i="2"/>
  <c r="M18" i="2"/>
  <c r="M14" i="2"/>
  <c r="M21" i="2"/>
  <c r="M17" i="2"/>
  <c r="M20" i="2"/>
  <c r="M16" i="2"/>
  <c r="N10" i="2"/>
  <c r="M19" i="2"/>
  <c r="M15" i="2"/>
  <c r="L15" i="2"/>
  <c r="L16" i="2"/>
  <c r="L19" i="2"/>
  <c r="C21" i="2"/>
  <c r="C13" i="2"/>
  <c r="C17" i="2"/>
  <c r="L20" i="2"/>
  <c r="C14" i="2"/>
  <c r="C18" i="2"/>
  <c r="C22" i="2"/>
  <c r="C15" i="2"/>
  <c r="C19" i="2"/>
  <c r="L13" i="2"/>
  <c r="L17" i="2"/>
  <c r="L21" i="2"/>
  <c r="C16" i="2"/>
  <c r="E16" i="2" s="1"/>
  <c r="L14" i="2"/>
  <c r="N14" i="2" s="1"/>
  <c r="L18" i="2"/>
  <c r="N19" i="2"/>
  <c r="B12" i="1"/>
  <c r="B17" i="1" s="1"/>
  <c r="B15" i="1" l="1"/>
  <c r="B16" i="1"/>
  <c r="N18" i="2"/>
  <c r="N15" i="2"/>
  <c r="E15" i="2"/>
  <c r="N16" i="2"/>
  <c r="N20" i="2" s="1"/>
  <c r="N21" i="2"/>
  <c r="E26" i="2"/>
  <c r="B39" i="2" s="1"/>
  <c r="N17" i="2"/>
  <c r="E18" i="2"/>
  <c r="E13" i="2"/>
  <c r="E17" i="2" s="1"/>
  <c r="L23" i="2"/>
  <c r="N13" i="2"/>
  <c r="C23" i="2"/>
  <c r="E14" i="2"/>
  <c r="E21" i="2"/>
  <c r="E19" i="2"/>
  <c r="E20" i="2"/>
  <c r="B21" i="1" l="1"/>
  <c r="B23" i="1" s="1"/>
  <c r="N23" i="2"/>
  <c r="P23" i="2" s="1"/>
  <c r="E23" i="2"/>
  <c r="B25" i="1" l="1"/>
  <c r="B24" i="1"/>
  <c r="E27" i="2"/>
  <c r="B43" i="2" s="1"/>
  <c r="G23" i="2"/>
  <c r="C31" i="2" s="1"/>
  <c r="B44" i="2" s="1"/>
  <c r="B27" i="1" l="1"/>
  <c r="B26" i="1"/>
</calcChain>
</file>

<file path=xl/sharedStrings.xml><?xml version="1.0" encoding="utf-8"?>
<sst xmlns="http://schemas.openxmlformats.org/spreadsheetml/2006/main" count="148" uniqueCount="103">
  <si>
    <t>sub</t>
  </si>
  <si>
    <t>total before tax</t>
  </si>
  <si>
    <t>contingency</t>
  </si>
  <si>
    <t>tax</t>
  </si>
  <si>
    <t>Total with tax</t>
  </si>
  <si>
    <t>Mechanical engineering</t>
  </si>
  <si>
    <t>Eletrical eng.</t>
  </si>
  <si>
    <t>Project management</t>
  </si>
  <si>
    <t>Other consultants</t>
  </si>
  <si>
    <t>Environmental disubursment</t>
  </si>
  <si>
    <t>Cost consultant'</t>
  </si>
  <si>
    <t>This is a cut and past from the Prism Study for NE8 material handling area: https://loop.bcit.ca/docs/DOC-4277</t>
  </si>
  <si>
    <t>Motor HP</t>
  </si>
  <si>
    <t>Hr/day</t>
  </si>
  <si>
    <t>Motor Eff</t>
  </si>
  <si>
    <t>Days/wk</t>
  </si>
  <si>
    <t>VFD Eff</t>
  </si>
  <si>
    <t>Hr/wk</t>
  </si>
  <si>
    <t>kW</t>
  </si>
  <si>
    <t>Wk/yr</t>
  </si>
  <si>
    <t>Annual hrs</t>
  </si>
  <si>
    <t>VFD speed</t>
  </si>
  <si>
    <t>% time</t>
  </si>
  <si>
    <t>Hr</t>
  </si>
  <si>
    <t>New kW</t>
  </si>
  <si>
    <t>kWh</t>
  </si>
  <si>
    <t>Total</t>
  </si>
  <si>
    <t>Average kW:</t>
  </si>
  <si>
    <t>EF1</t>
  </si>
  <si>
    <t>MAU Fan</t>
  </si>
  <si>
    <t>Capital cost</t>
  </si>
  <si>
    <t>Q = CFM * Heat Capacity * Delta T</t>
  </si>
  <si>
    <t>CFM</t>
  </si>
  <si>
    <t>Air Density at 20 deg C (kg/m3)</t>
  </si>
  <si>
    <t>Q=</t>
  </si>
  <si>
    <t>Run time</t>
  </si>
  <si>
    <t>hrs/day</t>
  </si>
  <si>
    <t>days/wk</t>
  </si>
  <si>
    <t>wks/yr</t>
  </si>
  <si>
    <t>min/hr</t>
  </si>
  <si>
    <t>Total Run time =</t>
  </si>
  <si>
    <t>Energy</t>
  </si>
  <si>
    <t>KJ</t>
  </si>
  <si>
    <t>GJ</t>
  </si>
  <si>
    <t>Total kWh/yr</t>
  </si>
  <si>
    <t>Total annual electrical consumption - System w/o VFD</t>
  </si>
  <si>
    <t>Total annual electrical consumption - System with VFD</t>
  </si>
  <si>
    <t>Demand</t>
  </si>
  <si>
    <t>Demand of a system w/o VFD</t>
  </si>
  <si>
    <t>Demand of a system with VFD</t>
  </si>
  <si>
    <t>Cost of operation (energy and demand)</t>
  </si>
  <si>
    <t>Cost of eletricity, LGS part 2</t>
  </si>
  <si>
    <t>Demand charges</t>
  </si>
  <si>
    <t>per kWh</t>
  </si>
  <si>
    <t>Cost of energy</t>
  </si>
  <si>
    <t>Cost of demand</t>
  </si>
  <si>
    <t>System w/o VFD</t>
  </si>
  <si>
    <t>System with VFD</t>
  </si>
  <si>
    <t>BC Hydro recommends using the table below to estimate annual energy use by entering the estimated % time that the VFD will run at a certain speed.</t>
  </si>
  <si>
    <t>Please note that “new kW” calculation is using a more conservative “square law” instead of “cube law”.</t>
  </si>
  <si>
    <t>Notes:</t>
  </si>
  <si>
    <t>Electrical Consuption / Savings</t>
  </si>
  <si>
    <t>Natural Gas consumption / savings</t>
  </si>
  <si>
    <t>minutes</t>
  </si>
  <si>
    <t>Conversion CFM to CMM (m3/ft3)</t>
  </si>
  <si>
    <t>Heat Capacity (KJ/kg*K)</t>
  </si>
  <si>
    <t>Average HDD (K)</t>
  </si>
  <si>
    <t>System running a full capacity all the time</t>
  </si>
  <si>
    <t>Do not use this data unless you discussed it with Alex Hebert</t>
  </si>
  <si>
    <t>Description:</t>
  </si>
  <si>
    <t>Celsius-based 5-year-average (2009 to 2013) heating degree days for a base temperature of 20.0C</t>
  </si>
  <si>
    <t>Source:</t>
  </si>
  <si>
    <t>www.degreedays.net (using temperature data from www.wunderground.com)</t>
  </si>
  <si>
    <t>Accuracy:</t>
  </si>
  <si>
    <t>Estimates were made to account for missing data: the "% Estimated" column shows how much each figure was affected (0% is best, 100% is worst)</t>
  </si>
  <si>
    <t>Station:</t>
  </si>
  <si>
    <t>Vancouver International Air-Port, B. C., BC, CA (123.17W,49.18N)</t>
  </si>
  <si>
    <t>Station ID:</t>
  </si>
  <si>
    <t>CYVR</t>
  </si>
  <si>
    <t>HDD</t>
  </si>
  <si>
    <t>% Estimated</t>
  </si>
  <si>
    <t>Jan</t>
  </si>
  <si>
    <t>Feb</t>
  </si>
  <si>
    <t>Mar</t>
  </si>
  <si>
    <t>Apr</t>
  </si>
  <si>
    <t>May</t>
  </si>
  <si>
    <t>Jun</t>
  </si>
  <si>
    <t>Sep</t>
  </si>
  <si>
    <t>Oct</t>
  </si>
  <si>
    <t>Nov</t>
  </si>
  <si>
    <t>Dec</t>
  </si>
  <si>
    <t>Average per day</t>
  </si>
  <si>
    <t>System running in average at 50% speed</t>
  </si>
  <si>
    <t>or 750 CFM per welder and 10 welders</t>
  </si>
  <si>
    <t>or 750 CFM per welder and 5 welders in average</t>
  </si>
  <si>
    <t>HDD Assumptions</t>
  </si>
  <si>
    <t>kWh per yr</t>
  </si>
  <si>
    <t>per year</t>
  </si>
  <si>
    <t>$  (annual cost of natural gas consumption)</t>
  </si>
  <si>
    <t>$ per GJ (cost of natural gas, including carbon tax and value of carbon offsets)</t>
  </si>
  <si>
    <t>D%$&amp;01_e899d14ddacb4ab9951527c567237cc9</t>
  </si>
  <si>
    <t>Vanesa Alzate_4867_BCIT_Windows (32-bit) NT 6.01_SOCE-Y31464_a00870331$$$06022017</t>
  </si>
  <si>
    <t>"Tgo!1331"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</si>
</sst>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&quot;$&quot;#,##0"/>
    <numFmt numFmtId="165" formatCode="&quot;$&quot;#,##0.0"/>
    <numFmt numFmtId="166" formatCode="0.0%"/>
    <numFmt numFmtId="167" formatCode="0_);\(0\)"/>
    <numFmt numFmtId="168" formatCode="_(* #,##0.0_);_(* \(#,##0.0\);_(* &quot;-&quot;??_);_(@_)"/>
    <numFmt numFmtId="169" formatCode="_(* #,##0_);_(* \(#,##0\);_(* &quot;-&quot;??_);_(@_)"/>
    <numFmt numFmtId="170" formatCode="0.0"/>
    <numFmt numFmtId="171" formatCode="&quot;$&quot;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164" fontId="0" fillId="0" borderId="2" xfId="0" applyNumberFormat="1" applyBorder="1"/>
    <xf numFmtId="9" fontId="2" fillId="0" borderId="0" xfId="2" applyFont="1"/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3" xfId="0" applyFont="1" applyBorder="1"/>
    <xf numFmtId="166" fontId="0" fillId="0" borderId="3" xfId="2" applyNumberFormat="1" applyFont="1" applyBorder="1" applyAlignment="1">
      <alignment horizontal="center"/>
    </xf>
    <xf numFmtId="167" fontId="0" fillId="0" borderId="3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Font="1" applyFill="1" applyBorder="1"/>
    <xf numFmtId="9" fontId="0" fillId="0" borderId="0" xfId="2" applyFont="1"/>
    <xf numFmtId="9" fontId="3" fillId="0" borderId="3" xfId="2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9" fontId="0" fillId="0" borderId="3" xfId="2" applyFont="1" applyBorder="1" applyAlignment="1">
      <alignment horizontal="center"/>
    </xf>
    <xf numFmtId="9" fontId="0" fillId="2" borderId="3" xfId="2" applyFont="1" applyFill="1" applyBorder="1"/>
    <xf numFmtId="168" fontId="0" fillId="0" borderId="3" xfId="1" applyNumberFormat="1" applyFont="1" applyBorder="1"/>
    <xf numFmtId="169" fontId="0" fillId="0" borderId="3" xfId="1" applyNumberFormat="1" applyFont="1" applyBorder="1"/>
    <xf numFmtId="9" fontId="3" fillId="0" borderId="3" xfId="2" applyFont="1" applyBorder="1"/>
    <xf numFmtId="0" fontId="3" fillId="0" borderId="3" xfId="0" applyFont="1" applyBorder="1"/>
    <xf numFmtId="169" fontId="3" fillId="0" borderId="3" xfId="0" applyNumberFormat="1" applyFont="1" applyBorder="1"/>
    <xf numFmtId="170" fontId="0" fillId="0" borderId="0" xfId="0" applyNumberFormat="1" applyAlignment="1">
      <alignment horizontal="center"/>
    </xf>
    <xf numFmtId="169" fontId="0" fillId="0" borderId="0" xfId="0" applyNumberFormat="1"/>
    <xf numFmtId="0" fontId="4" fillId="0" borderId="0" xfId="0" applyFont="1"/>
    <xf numFmtId="3" fontId="0" fillId="0" borderId="0" xfId="0" applyNumberFormat="1"/>
    <xf numFmtId="0" fontId="0" fillId="0" borderId="3" xfId="0" applyFill="1" applyBorder="1"/>
    <xf numFmtId="3" fontId="4" fillId="0" borderId="3" xfId="0" applyNumberFormat="1" applyFont="1" applyBorder="1" applyAlignment="1">
      <alignment horizontal="center"/>
    </xf>
    <xf numFmtId="0" fontId="0" fillId="0" borderId="0" xfId="0" applyFont="1"/>
    <xf numFmtId="1" fontId="0" fillId="0" borderId="0" xfId="0" applyNumberFormat="1" applyAlignment="1">
      <alignment horizontal="center"/>
    </xf>
    <xf numFmtId="171" fontId="0" fillId="0" borderId="0" xfId="0" applyNumberFormat="1"/>
    <xf numFmtId="0" fontId="5" fillId="0" borderId="0" xfId="0" applyFont="1"/>
    <xf numFmtId="0" fontId="2" fillId="0" borderId="0" xfId="0" applyFont="1"/>
    <xf numFmtId="0" fontId="6" fillId="0" borderId="0" xfId="0" applyFont="1"/>
    <xf numFmtId="0" fontId="7" fillId="0" borderId="0" xfId="0" applyFont="1"/>
    <xf numFmtId="3" fontId="0" fillId="3" borderId="0" xfId="0" applyNumberFormat="1" applyFill="1"/>
    <xf numFmtId="0" fontId="0" fillId="3" borderId="0" xfId="0" applyFill="1"/>
    <xf numFmtId="3" fontId="0" fillId="3" borderId="0" xfId="0" applyNumberFormat="1" applyFill="1" applyAlignment="1">
      <alignment horizontal="center"/>
    </xf>
    <xf numFmtId="164" fontId="0" fillId="3" borderId="0" xfId="0" applyNumberFormat="1" applyFill="1"/>
    <xf numFmtId="9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G11" sqref="G11"/>
    </sheetView>
  </sheetViews>
  <sheetFormatPr defaultRowHeight="15" x14ac:dyDescent="0.25"/>
  <cols>
    <col min="1" max="1" width="27.28515625" customWidth="1"/>
    <col min="2" max="2" width="10.140625" bestFit="1" customWidth="1"/>
  </cols>
  <sheetData>
    <row r="1" spans="1:2" ht="18.75" x14ac:dyDescent="0.3">
      <c r="A1" s="35" t="s">
        <v>30</v>
      </c>
    </row>
    <row r="2" spans="1:2" ht="15.75" x14ac:dyDescent="0.25">
      <c r="A2" s="36" t="s">
        <v>68</v>
      </c>
    </row>
    <row r="4" spans="1:2" x14ac:dyDescent="0.25">
      <c r="A4" s="43" t="s">
        <v>11</v>
      </c>
      <c r="B4" s="1">
        <v>20000</v>
      </c>
    </row>
    <row r="5" spans="1:2" x14ac:dyDescent="0.25">
      <c r="A5" s="43"/>
      <c r="B5" s="1">
        <v>5000</v>
      </c>
    </row>
    <row r="6" spans="1:2" x14ac:dyDescent="0.25">
      <c r="A6" s="43"/>
      <c r="B6" s="1">
        <v>1000</v>
      </c>
    </row>
    <row r="7" spans="1:2" x14ac:dyDescent="0.25">
      <c r="A7" s="43"/>
      <c r="B7" s="1">
        <v>10000</v>
      </c>
    </row>
    <row r="8" spans="1:2" x14ac:dyDescent="0.25">
      <c r="A8" s="43"/>
      <c r="B8" s="1">
        <v>7000</v>
      </c>
    </row>
    <row r="9" spans="1:2" x14ac:dyDescent="0.25">
      <c r="A9" s="43"/>
      <c r="B9" s="1">
        <v>8000</v>
      </c>
    </row>
    <row r="10" spans="1:2" x14ac:dyDescent="0.25">
      <c r="A10" s="43"/>
      <c r="B10" s="1">
        <v>15000</v>
      </c>
    </row>
    <row r="11" spans="1:2" x14ac:dyDescent="0.25">
      <c r="A11" s="43"/>
      <c r="B11" s="2">
        <v>5000</v>
      </c>
    </row>
    <row r="12" spans="1:2" x14ac:dyDescent="0.25">
      <c r="B12" s="1">
        <f>SUM(B4:B11)</f>
        <v>71000</v>
      </c>
    </row>
    <row r="15" spans="1:2" x14ac:dyDescent="0.25">
      <c r="A15" t="s">
        <v>5</v>
      </c>
      <c r="B15" s="1">
        <f>0.1*$B$12</f>
        <v>7100</v>
      </c>
    </row>
    <row r="16" spans="1:2" x14ac:dyDescent="0.25">
      <c r="A16" t="s">
        <v>6</v>
      </c>
      <c r="B16" s="1">
        <f>0.1*$B$12</f>
        <v>7100</v>
      </c>
    </row>
    <row r="17" spans="1:2" x14ac:dyDescent="0.25">
      <c r="A17" t="s">
        <v>7</v>
      </c>
      <c r="B17" s="1">
        <f>0.1*$B$12</f>
        <v>7100</v>
      </c>
    </row>
    <row r="18" spans="1:2" x14ac:dyDescent="0.25">
      <c r="A18" t="s">
        <v>8</v>
      </c>
      <c r="B18" s="1">
        <v>5000</v>
      </c>
    </row>
    <row r="19" spans="1:2" x14ac:dyDescent="0.25">
      <c r="A19" t="s">
        <v>9</v>
      </c>
      <c r="B19" s="1">
        <v>5000</v>
      </c>
    </row>
    <row r="20" spans="1:2" x14ac:dyDescent="0.25">
      <c r="A20" t="s">
        <v>10</v>
      </c>
      <c r="B20" s="2">
        <v>2000</v>
      </c>
    </row>
    <row r="21" spans="1:2" x14ac:dyDescent="0.25">
      <c r="B21" s="1">
        <f>SUM(B15:B20)</f>
        <v>33300</v>
      </c>
    </row>
    <row r="23" spans="1:2" x14ac:dyDescent="0.25">
      <c r="A23" t="s">
        <v>0</v>
      </c>
      <c r="B23" s="1">
        <f>B12+B21</f>
        <v>104300</v>
      </c>
    </row>
    <row r="24" spans="1:2" x14ac:dyDescent="0.25">
      <c r="A24" t="s">
        <v>2</v>
      </c>
      <c r="B24" s="3">
        <f>B23*0.3</f>
        <v>31290</v>
      </c>
    </row>
    <row r="25" spans="1:2" x14ac:dyDescent="0.25">
      <c r="A25" t="s">
        <v>1</v>
      </c>
      <c r="B25" s="1">
        <f>SUM(B23:B24)</f>
        <v>135590</v>
      </c>
    </row>
    <row r="26" spans="1:2" ht="15.75" thickBot="1" x14ac:dyDescent="0.3">
      <c r="A26" t="s">
        <v>3</v>
      </c>
      <c r="B26" s="4">
        <f>B25*0.0867</f>
        <v>11755.653</v>
      </c>
    </row>
    <row r="27" spans="1:2" ht="15.75" thickTop="1" x14ac:dyDescent="0.25">
      <c r="A27" t="s">
        <v>4</v>
      </c>
      <c r="B27" s="1">
        <f>SUM(B25:B26)</f>
        <v>147345.65299999999</v>
      </c>
    </row>
  </sheetData>
  <mergeCells count="1">
    <mergeCell ref="A4:A11"/>
  </mergeCells>
  <pageMargins left="0.7" right="0.7" top="0.75" bottom="0.75" header="0.3" footer="0.3"/>
  <pageSetup orientation="portrait" r:id="rId1"/>
  <customProperties>
    <customPr name="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30" workbookViewId="0">
      <selection activeCell="A54" sqref="A54"/>
    </sheetView>
  </sheetViews>
  <sheetFormatPr defaultRowHeight="15" x14ac:dyDescent="0.25"/>
  <cols>
    <col min="1" max="1" width="25.28515625" customWidth="1"/>
    <col min="2" max="2" width="10.7109375" customWidth="1"/>
    <col min="3" max="3" width="10.42578125" customWidth="1"/>
    <col min="4" max="4" width="15.140625" customWidth="1"/>
    <col min="5" max="5" width="10.7109375" customWidth="1"/>
    <col min="6" max="6" width="14.5703125" customWidth="1"/>
    <col min="10" max="10" width="25.28515625" customWidth="1"/>
    <col min="11" max="11" width="10.7109375" customWidth="1"/>
    <col min="12" max="12" width="7.28515625" customWidth="1"/>
    <col min="13" max="13" width="17.85546875" customWidth="1"/>
    <col min="14" max="14" width="10.7109375" customWidth="1"/>
    <col min="15" max="15" width="14.5703125" customWidth="1"/>
  </cols>
  <sheetData>
    <row r="1" spans="1:16" ht="18.75" x14ac:dyDescent="0.3">
      <c r="A1" s="35" t="s">
        <v>61</v>
      </c>
    </row>
    <row r="3" spans="1:16" x14ac:dyDescent="0.25">
      <c r="A3" s="5" t="s">
        <v>28</v>
      </c>
      <c r="J3" s="5" t="s">
        <v>29</v>
      </c>
    </row>
    <row r="5" spans="1:16" x14ac:dyDescent="0.25">
      <c r="A5" s="6" t="s">
        <v>12</v>
      </c>
      <c r="B5" s="7">
        <v>25</v>
      </c>
      <c r="C5" s="6"/>
      <c r="D5" s="8" t="s">
        <v>13</v>
      </c>
      <c r="E5" s="7">
        <v>7</v>
      </c>
      <c r="J5" s="8" t="s">
        <v>12</v>
      </c>
      <c r="K5" s="7">
        <v>25</v>
      </c>
      <c r="L5" s="6"/>
      <c r="M5" s="8" t="s">
        <v>13</v>
      </c>
      <c r="N5" s="7">
        <v>7</v>
      </c>
    </row>
    <row r="6" spans="1:16" x14ac:dyDescent="0.25">
      <c r="A6" s="6" t="s">
        <v>14</v>
      </c>
      <c r="B6" s="9">
        <v>0.92</v>
      </c>
      <c r="C6" s="6"/>
      <c r="D6" s="8" t="s">
        <v>15</v>
      </c>
      <c r="E6" s="7">
        <v>6</v>
      </c>
      <c r="J6" s="6" t="s">
        <v>14</v>
      </c>
      <c r="K6" s="9">
        <v>0.92</v>
      </c>
      <c r="L6" s="6"/>
      <c r="M6" s="8" t="s">
        <v>15</v>
      </c>
      <c r="N6" s="7">
        <v>6</v>
      </c>
    </row>
    <row r="7" spans="1:16" x14ac:dyDescent="0.25">
      <c r="A7" s="6" t="s">
        <v>16</v>
      </c>
      <c r="B7" s="9">
        <v>0.97</v>
      </c>
      <c r="C7" s="6"/>
      <c r="D7" s="6" t="s">
        <v>17</v>
      </c>
      <c r="E7" s="7">
        <f>E5*E6</f>
        <v>42</v>
      </c>
      <c r="J7" s="6" t="s">
        <v>16</v>
      </c>
      <c r="K7" s="9">
        <v>0.97</v>
      </c>
      <c r="L7" s="6"/>
      <c r="M7" s="6" t="s">
        <v>17</v>
      </c>
      <c r="N7" s="7">
        <f>N5*N6</f>
        <v>42</v>
      </c>
    </row>
    <row r="8" spans="1:16" x14ac:dyDescent="0.25">
      <c r="A8" s="6" t="s">
        <v>18</v>
      </c>
      <c r="B8" s="10">
        <f>B5*0.746*0.805/B6</f>
        <v>16.318749999999998</v>
      </c>
      <c r="C8" s="6"/>
      <c r="D8" s="6" t="s">
        <v>19</v>
      </c>
      <c r="E8" s="7">
        <v>50</v>
      </c>
      <c r="J8" s="6" t="s">
        <v>18</v>
      </c>
      <c r="K8" s="10">
        <f>K5*0.746*0.805/K6</f>
        <v>16.318749999999998</v>
      </c>
      <c r="L8" s="6"/>
      <c r="M8" s="6" t="s">
        <v>19</v>
      </c>
      <c r="N8" s="7">
        <v>50</v>
      </c>
    </row>
    <row r="9" spans="1:16" x14ac:dyDescent="0.25">
      <c r="A9" s="6"/>
      <c r="B9" s="6"/>
      <c r="C9" s="6"/>
      <c r="D9" s="6" t="s">
        <v>20</v>
      </c>
      <c r="E9" s="7">
        <f>E7*E8</f>
        <v>2100</v>
      </c>
      <c r="F9" s="26"/>
      <c r="J9" s="6"/>
      <c r="K9" s="6"/>
      <c r="L9" s="6"/>
      <c r="M9" s="6" t="s">
        <v>20</v>
      </c>
      <c r="N9" s="7">
        <f>N7*N8</f>
        <v>2100</v>
      </c>
      <c r="O9" s="26"/>
    </row>
    <row r="10" spans="1:16" x14ac:dyDescent="0.25">
      <c r="D10" s="28" t="s">
        <v>44</v>
      </c>
      <c r="E10" s="29">
        <f>B8*E9</f>
        <v>34269.374999999993</v>
      </c>
      <c r="I10" s="11"/>
      <c r="J10" s="12"/>
      <c r="K10" s="11"/>
      <c r="M10" s="28" t="s">
        <v>44</v>
      </c>
      <c r="N10" s="29">
        <f>K8*N9</f>
        <v>34269.374999999993</v>
      </c>
    </row>
    <row r="11" spans="1:16" x14ac:dyDescent="0.25">
      <c r="A11" s="13"/>
      <c r="B11" s="13"/>
      <c r="J11" s="13"/>
      <c r="K11" s="13"/>
    </row>
    <row r="12" spans="1:16" x14ac:dyDescent="0.25">
      <c r="A12" s="14" t="s">
        <v>21</v>
      </c>
      <c r="B12" s="14" t="s">
        <v>22</v>
      </c>
      <c r="C12" s="15" t="s">
        <v>23</v>
      </c>
      <c r="D12" s="15" t="s">
        <v>24</v>
      </c>
      <c r="E12" s="15" t="s">
        <v>25</v>
      </c>
      <c r="J12" s="14" t="s">
        <v>21</v>
      </c>
      <c r="K12" s="14" t="s">
        <v>22</v>
      </c>
      <c r="L12" s="15" t="s">
        <v>23</v>
      </c>
      <c r="M12" s="15" t="s">
        <v>24</v>
      </c>
      <c r="N12" s="15" t="s">
        <v>25</v>
      </c>
      <c r="P12" s="16"/>
    </row>
    <row r="13" spans="1:16" x14ac:dyDescent="0.25">
      <c r="A13" s="17">
        <v>1</v>
      </c>
      <c r="B13" s="18">
        <v>0.1</v>
      </c>
      <c r="C13" s="6">
        <f t="shared" ref="C13:C22" si="0">$E$9*B13</f>
        <v>210</v>
      </c>
      <c r="D13" s="19">
        <f>B8</f>
        <v>16.318749999999998</v>
      </c>
      <c r="E13" s="20">
        <f>D13*C13</f>
        <v>3426.9374999999995</v>
      </c>
      <c r="J13" s="17">
        <v>1</v>
      </c>
      <c r="K13" s="18">
        <v>0.1</v>
      </c>
      <c r="L13" s="6">
        <f>$N$9*K13</f>
        <v>210</v>
      </c>
      <c r="M13" s="19">
        <f>K8</f>
        <v>16.318749999999998</v>
      </c>
      <c r="N13" s="20">
        <f t="shared" ref="N13:N21" si="1">M13*L13</f>
        <v>3426.9374999999995</v>
      </c>
    </row>
    <row r="14" spans="1:16" x14ac:dyDescent="0.25">
      <c r="A14" s="17">
        <v>0.9</v>
      </c>
      <c r="B14" s="18">
        <v>0</v>
      </c>
      <c r="C14" s="6">
        <f t="shared" si="0"/>
        <v>0</v>
      </c>
      <c r="D14" s="19">
        <f t="shared" ref="D14:D22" si="2">A14^2*$B$8</f>
        <v>13.218187499999999</v>
      </c>
      <c r="E14" s="20">
        <f t="shared" ref="E14:E21" si="3">D14*C14</f>
        <v>0</v>
      </c>
      <c r="J14" s="17">
        <v>0.9</v>
      </c>
      <c r="K14" s="18">
        <v>0</v>
      </c>
      <c r="L14" s="6">
        <f t="shared" ref="L14:L22" si="4">$N$9*K14</f>
        <v>0</v>
      </c>
      <c r="M14" s="19">
        <f>J14^2*$K$8</f>
        <v>13.218187499999999</v>
      </c>
      <c r="N14" s="20">
        <f t="shared" si="1"/>
        <v>0</v>
      </c>
    </row>
    <row r="15" spans="1:16" x14ac:dyDescent="0.25">
      <c r="A15" s="17">
        <v>0.8</v>
      </c>
      <c r="B15" s="18">
        <v>0.1</v>
      </c>
      <c r="C15" s="6">
        <f t="shared" si="0"/>
        <v>210</v>
      </c>
      <c r="D15" s="19">
        <f t="shared" si="2"/>
        <v>10.444000000000001</v>
      </c>
      <c r="E15" s="20">
        <f t="shared" si="3"/>
        <v>2193.2400000000002</v>
      </c>
      <c r="J15" s="17">
        <v>0.8</v>
      </c>
      <c r="K15" s="18">
        <v>0.1</v>
      </c>
      <c r="L15" s="6">
        <f t="shared" si="4"/>
        <v>210</v>
      </c>
      <c r="M15" s="19">
        <f t="shared" ref="M15:M22" si="5">J15^2*$K$8</f>
        <v>10.444000000000001</v>
      </c>
      <c r="N15" s="20">
        <f t="shared" si="1"/>
        <v>2193.2400000000002</v>
      </c>
    </row>
    <row r="16" spans="1:16" x14ac:dyDescent="0.25">
      <c r="A16" s="17">
        <v>0.7</v>
      </c>
      <c r="B16" s="18">
        <v>0</v>
      </c>
      <c r="C16" s="6">
        <f t="shared" si="0"/>
        <v>0</v>
      </c>
      <c r="D16" s="19">
        <f t="shared" si="2"/>
        <v>7.9961874999999978</v>
      </c>
      <c r="E16" s="20">
        <f t="shared" si="3"/>
        <v>0</v>
      </c>
      <c r="J16" s="17">
        <v>0.7</v>
      </c>
      <c r="K16" s="18">
        <v>0</v>
      </c>
      <c r="L16" s="6">
        <f t="shared" si="4"/>
        <v>0</v>
      </c>
      <c r="M16" s="19">
        <f t="shared" si="5"/>
        <v>7.9961874999999978</v>
      </c>
      <c r="N16" s="20">
        <f t="shared" si="1"/>
        <v>0</v>
      </c>
    </row>
    <row r="17" spans="1:16" x14ac:dyDescent="0.25">
      <c r="A17" s="17">
        <v>0.6</v>
      </c>
      <c r="B17" s="18">
        <v>0</v>
      </c>
      <c r="C17" s="6">
        <f t="shared" si="0"/>
        <v>0</v>
      </c>
      <c r="D17" s="19">
        <f t="shared" si="2"/>
        <v>5.8747499999999988</v>
      </c>
      <c r="E17" s="20">
        <f t="shared" si="3"/>
        <v>0</v>
      </c>
      <c r="J17" s="17">
        <v>0.6</v>
      </c>
      <c r="K17" s="18">
        <v>0</v>
      </c>
      <c r="L17" s="6">
        <f t="shared" si="4"/>
        <v>0</v>
      </c>
      <c r="M17" s="19">
        <f t="shared" si="5"/>
        <v>5.8747499999999988</v>
      </c>
      <c r="N17" s="20">
        <f t="shared" si="1"/>
        <v>0</v>
      </c>
    </row>
    <row r="18" spans="1:16" x14ac:dyDescent="0.25">
      <c r="A18" s="17">
        <v>0.5</v>
      </c>
      <c r="B18" s="18">
        <v>0.4</v>
      </c>
      <c r="C18" s="6">
        <f t="shared" si="0"/>
        <v>840</v>
      </c>
      <c r="D18" s="19">
        <f t="shared" si="2"/>
        <v>4.0796874999999995</v>
      </c>
      <c r="E18" s="20">
        <f t="shared" si="3"/>
        <v>3426.9374999999995</v>
      </c>
      <c r="J18" s="17">
        <v>0.5</v>
      </c>
      <c r="K18" s="18">
        <v>0.4</v>
      </c>
      <c r="L18" s="6">
        <f t="shared" si="4"/>
        <v>840</v>
      </c>
      <c r="M18" s="19">
        <f t="shared" si="5"/>
        <v>4.0796874999999995</v>
      </c>
      <c r="N18" s="20">
        <f t="shared" si="1"/>
        <v>3426.9374999999995</v>
      </c>
    </row>
    <row r="19" spans="1:16" x14ac:dyDescent="0.25">
      <c r="A19" s="17">
        <v>0.4</v>
      </c>
      <c r="B19" s="18">
        <v>0</v>
      </c>
      <c r="C19" s="6">
        <f t="shared" si="0"/>
        <v>0</v>
      </c>
      <c r="D19" s="19">
        <f t="shared" si="2"/>
        <v>2.6110000000000002</v>
      </c>
      <c r="E19" s="20">
        <f t="shared" si="3"/>
        <v>0</v>
      </c>
      <c r="J19" s="17">
        <v>0.4</v>
      </c>
      <c r="K19" s="18">
        <v>0</v>
      </c>
      <c r="L19" s="6">
        <f t="shared" si="4"/>
        <v>0</v>
      </c>
      <c r="M19" s="19">
        <f t="shared" si="5"/>
        <v>2.6110000000000002</v>
      </c>
      <c r="N19" s="20">
        <f t="shared" si="1"/>
        <v>0</v>
      </c>
    </row>
    <row r="20" spans="1:16" x14ac:dyDescent="0.25">
      <c r="A20" s="17">
        <v>0.3</v>
      </c>
      <c r="B20" s="18">
        <v>0.4</v>
      </c>
      <c r="C20" s="6">
        <f t="shared" si="0"/>
        <v>840</v>
      </c>
      <c r="D20" s="19">
        <f t="shared" si="2"/>
        <v>1.4686874999999997</v>
      </c>
      <c r="E20" s="20">
        <f t="shared" si="3"/>
        <v>1233.6974999999998</v>
      </c>
      <c r="J20" s="17">
        <v>0.3</v>
      </c>
      <c r="K20" s="18">
        <v>0.4</v>
      </c>
      <c r="L20" s="6">
        <f t="shared" si="4"/>
        <v>840</v>
      </c>
      <c r="M20" s="19">
        <f t="shared" si="5"/>
        <v>1.4686874999999997</v>
      </c>
      <c r="N20" s="20">
        <f t="shared" si="1"/>
        <v>1233.6974999999998</v>
      </c>
    </row>
    <row r="21" spans="1:16" x14ac:dyDescent="0.25">
      <c r="A21" s="17">
        <v>0.2</v>
      </c>
      <c r="B21" s="18">
        <v>0</v>
      </c>
      <c r="C21" s="6">
        <f t="shared" si="0"/>
        <v>0</v>
      </c>
      <c r="D21" s="19">
        <f t="shared" si="2"/>
        <v>0.65275000000000005</v>
      </c>
      <c r="E21" s="20">
        <f t="shared" si="3"/>
        <v>0</v>
      </c>
      <c r="J21" s="17">
        <v>0.2</v>
      </c>
      <c r="K21" s="18">
        <v>0</v>
      </c>
      <c r="L21" s="6">
        <f t="shared" si="4"/>
        <v>0</v>
      </c>
      <c r="M21" s="19">
        <f t="shared" si="5"/>
        <v>0.65275000000000005</v>
      </c>
      <c r="N21" s="20">
        <f t="shared" si="1"/>
        <v>0</v>
      </c>
    </row>
    <row r="22" spans="1:16" x14ac:dyDescent="0.25">
      <c r="A22" s="17">
        <v>0.1</v>
      </c>
      <c r="B22" s="18">
        <v>0</v>
      </c>
      <c r="C22" s="6">
        <f t="shared" si="0"/>
        <v>0</v>
      </c>
      <c r="D22" s="19">
        <f t="shared" si="2"/>
        <v>0.16318750000000001</v>
      </c>
      <c r="E22" s="20">
        <v>0</v>
      </c>
      <c r="J22" s="17">
        <v>0.1</v>
      </c>
      <c r="K22" s="18">
        <v>0</v>
      </c>
      <c r="L22" s="6">
        <f t="shared" si="4"/>
        <v>0</v>
      </c>
      <c r="M22" s="19">
        <f t="shared" si="5"/>
        <v>0.16318750000000001</v>
      </c>
      <c r="N22" s="20">
        <v>0</v>
      </c>
    </row>
    <row r="23" spans="1:16" x14ac:dyDescent="0.25">
      <c r="A23" s="21" t="s">
        <v>26</v>
      </c>
      <c r="B23" s="21">
        <f>SUM(B13:B22)</f>
        <v>1</v>
      </c>
      <c r="C23" s="22">
        <f>SUM(C13:C22)</f>
        <v>2100</v>
      </c>
      <c r="D23" s="22"/>
      <c r="E23" s="23">
        <f>SUM(E13:E22)</f>
        <v>10280.8125</v>
      </c>
      <c r="F23" s="16" t="s">
        <v>27</v>
      </c>
      <c r="G23" s="24">
        <f>E23/E9</f>
        <v>4.8956249999999999</v>
      </c>
      <c r="J23" s="21" t="s">
        <v>26</v>
      </c>
      <c r="K23" s="21">
        <f>SUM(K13:K22)</f>
        <v>1</v>
      </c>
      <c r="L23" s="22">
        <f>SUM(L13:L22)</f>
        <v>2100</v>
      </c>
      <c r="M23" s="22"/>
      <c r="N23" s="23">
        <f>SUM(N13:N22)</f>
        <v>10280.8125</v>
      </c>
      <c r="O23" s="16" t="s">
        <v>27</v>
      </c>
      <c r="P23" s="24">
        <f>N23/N9</f>
        <v>4.8956249999999999</v>
      </c>
    </row>
    <row r="24" spans="1:16" x14ac:dyDescent="0.25">
      <c r="F24" s="16"/>
      <c r="O24" s="16"/>
    </row>
    <row r="25" spans="1:16" x14ac:dyDescent="0.25">
      <c r="A25" s="26" t="s">
        <v>41</v>
      </c>
    </row>
    <row r="26" spans="1:16" x14ac:dyDescent="0.25">
      <c r="A26" t="s">
        <v>45</v>
      </c>
      <c r="E26" s="39">
        <f>E10+N10</f>
        <v>68538.749999999985</v>
      </c>
      <c r="F26" s="38" t="s">
        <v>96</v>
      </c>
    </row>
    <row r="27" spans="1:16" x14ac:dyDescent="0.25">
      <c r="A27" t="s">
        <v>46</v>
      </c>
      <c r="E27" s="39">
        <f>E23+N23</f>
        <v>20561.625</v>
      </c>
      <c r="F27" s="38" t="s">
        <v>96</v>
      </c>
    </row>
    <row r="29" spans="1:16" x14ac:dyDescent="0.25">
      <c r="A29" s="26" t="s">
        <v>47</v>
      </c>
      <c r="B29" s="25"/>
    </row>
    <row r="30" spans="1:16" x14ac:dyDescent="0.25">
      <c r="A30" s="30" t="s">
        <v>48</v>
      </c>
      <c r="C30" s="31">
        <f>B8+K8</f>
        <v>32.637499999999996</v>
      </c>
    </row>
    <row r="31" spans="1:16" x14ac:dyDescent="0.25">
      <c r="A31" s="30" t="s">
        <v>49</v>
      </c>
      <c r="C31" s="31">
        <f>G23+P23</f>
        <v>9.7912499999999998</v>
      </c>
    </row>
    <row r="33" spans="1:3" x14ac:dyDescent="0.25">
      <c r="A33" s="26" t="s">
        <v>50</v>
      </c>
    </row>
    <row r="35" spans="1:3" x14ac:dyDescent="0.25">
      <c r="A35" t="s">
        <v>51</v>
      </c>
      <c r="B35" s="32">
        <v>0.1009</v>
      </c>
      <c r="C35" t="s">
        <v>53</v>
      </c>
    </row>
    <row r="36" spans="1:3" x14ac:dyDescent="0.25">
      <c r="A36" t="s">
        <v>52</v>
      </c>
      <c r="B36" s="32">
        <v>10.97</v>
      </c>
      <c r="C36" t="s">
        <v>53</v>
      </c>
    </row>
    <row r="38" spans="1:3" x14ac:dyDescent="0.25">
      <c r="A38" s="33" t="s">
        <v>56</v>
      </c>
    </row>
    <row r="39" spans="1:3" x14ac:dyDescent="0.25">
      <c r="A39" t="s">
        <v>54</v>
      </c>
      <c r="B39" s="40">
        <f>E26*B35</f>
        <v>6915.559874999999</v>
      </c>
      <c r="C39" s="38" t="s">
        <v>97</v>
      </c>
    </row>
    <row r="40" spans="1:3" x14ac:dyDescent="0.25">
      <c r="A40" t="s">
        <v>55</v>
      </c>
      <c r="B40" s="40">
        <f>C30*B36*12</f>
        <v>4296.4004999999997</v>
      </c>
      <c r="C40" s="38" t="s">
        <v>97</v>
      </c>
    </row>
    <row r="41" spans="1:3" x14ac:dyDescent="0.25">
      <c r="B41" s="1"/>
    </row>
    <row r="42" spans="1:3" x14ac:dyDescent="0.25">
      <c r="A42" s="33" t="s">
        <v>57</v>
      </c>
      <c r="B42" s="1"/>
    </row>
    <row r="43" spans="1:3" x14ac:dyDescent="0.25">
      <c r="A43" t="s">
        <v>54</v>
      </c>
      <c r="B43" s="40">
        <f>E27*B35</f>
        <v>2074.6679625000002</v>
      </c>
      <c r="C43" s="38" t="s">
        <v>97</v>
      </c>
    </row>
    <row r="44" spans="1:3" x14ac:dyDescent="0.25">
      <c r="A44" t="s">
        <v>55</v>
      </c>
      <c r="B44" s="40">
        <f>C31*B36*12</f>
        <v>1288.9201500000001</v>
      </c>
      <c r="C44" s="38" t="s">
        <v>97</v>
      </c>
    </row>
    <row r="46" spans="1:3" x14ac:dyDescent="0.25">
      <c r="A46" s="26" t="s">
        <v>60</v>
      </c>
    </row>
    <row r="47" spans="1:3" x14ac:dyDescent="0.25">
      <c r="A47" s="34" t="s">
        <v>58</v>
      </c>
    </row>
    <row r="48" spans="1:3" x14ac:dyDescent="0.25">
      <c r="A48" s="5" t="s">
        <v>59</v>
      </c>
    </row>
  </sheetData>
  <pageMargins left="0.7" right="0.7" top="0.75" bottom="0.75" header="0.3" footer="0.3"/>
  <pageSetup orientation="portrait" r:id="rId1"/>
  <customProperties>
    <customPr name="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workbookViewId="0">
      <selection activeCell="A28" sqref="A28"/>
    </sheetView>
  </sheetViews>
  <sheetFormatPr defaultRowHeight="15" x14ac:dyDescent="0.25"/>
  <sheetData>
    <row r="1" spans="1:15" ht="18.75" x14ac:dyDescent="0.3">
      <c r="A1" s="35" t="s">
        <v>62</v>
      </c>
    </row>
    <row r="3" spans="1:15" x14ac:dyDescent="0.25">
      <c r="A3" s="26" t="s">
        <v>67</v>
      </c>
      <c r="K3" s="26" t="s">
        <v>92</v>
      </c>
    </row>
    <row r="5" spans="1:15" x14ac:dyDescent="0.25">
      <c r="C5" t="s">
        <v>31</v>
      </c>
      <c r="M5" t="s">
        <v>31</v>
      </c>
    </row>
    <row r="7" spans="1:15" x14ac:dyDescent="0.25">
      <c r="C7">
        <f>10*750</f>
        <v>7500</v>
      </c>
      <c r="D7" t="s">
        <v>32</v>
      </c>
      <c r="E7" t="s">
        <v>93</v>
      </c>
      <c r="M7">
        <f>10*750/2</f>
        <v>3750</v>
      </c>
      <c r="N7" t="s">
        <v>32</v>
      </c>
      <c r="O7" t="s">
        <v>94</v>
      </c>
    </row>
    <row r="8" spans="1:15" x14ac:dyDescent="0.25">
      <c r="C8">
        <v>11.7</v>
      </c>
      <c r="D8" t="s">
        <v>66</v>
      </c>
      <c r="M8">
        <v>11.7</v>
      </c>
      <c r="N8" t="s">
        <v>66</v>
      </c>
    </row>
    <row r="9" spans="1:15" x14ac:dyDescent="0.25">
      <c r="C9">
        <v>1.2</v>
      </c>
      <c r="D9" t="s">
        <v>33</v>
      </c>
      <c r="M9">
        <v>1.2</v>
      </c>
      <c r="N9" t="s">
        <v>33</v>
      </c>
    </row>
    <row r="10" spans="1:15" x14ac:dyDescent="0.25">
      <c r="C10">
        <v>2.8299999999999999E-2</v>
      </c>
      <c r="D10" t="s">
        <v>64</v>
      </c>
      <c r="M10">
        <v>2.8299999999999999E-2</v>
      </c>
      <c r="N10" t="s">
        <v>64</v>
      </c>
    </row>
    <row r="11" spans="1:15" x14ac:dyDescent="0.25">
      <c r="C11">
        <v>1</v>
      </c>
      <c r="D11" t="s">
        <v>65</v>
      </c>
      <c r="M11">
        <v>1</v>
      </c>
      <c r="N11" t="s">
        <v>65</v>
      </c>
    </row>
    <row r="14" spans="1:15" x14ac:dyDescent="0.25">
      <c r="B14" t="s">
        <v>34</v>
      </c>
      <c r="C14">
        <f>C7*C8*C9*C10*C11</f>
        <v>2979.99</v>
      </c>
      <c r="L14" t="s">
        <v>34</v>
      </c>
      <c r="M14">
        <f>M7*M8*M9*M10*M11</f>
        <v>1489.9949999999999</v>
      </c>
    </row>
    <row r="16" spans="1:15" x14ac:dyDescent="0.25">
      <c r="B16" t="s">
        <v>35</v>
      </c>
      <c r="L16" t="s">
        <v>35</v>
      </c>
    </row>
    <row r="18" spans="1:21" x14ac:dyDescent="0.25">
      <c r="C18">
        <v>7</v>
      </c>
      <c r="D18" t="s">
        <v>36</v>
      </c>
      <c r="M18">
        <v>7</v>
      </c>
      <c r="N18" t="s">
        <v>36</v>
      </c>
    </row>
    <row r="19" spans="1:21" x14ac:dyDescent="0.25">
      <c r="C19">
        <v>6</v>
      </c>
      <c r="D19" t="s">
        <v>37</v>
      </c>
      <c r="M19">
        <v>6</v>
      </c>
      <c r="N19" t="s">
        <v>37</v>
      </c>
    </row>
    <row r="20" spans="1:21" x14ac:dyDescent="0.25">
      <c r="C20">
        <v>52</v>
      </c>
      <c r="D20" t="s">
        <v>38</v>
      </c>
      <c r="M20">
        <f>52</f>
        <v>52</v>
      </c>
      <c r="N20" t="s">
        <v>38</v>
      </c>
    </row>
    <row r="21" spans="1:21" x14ac:dyDescent="0.25">
      <c r="C21">
        <v>60</v>
      </c>
      <c r="D21" t="s">
        <v>39</v>
      </c>
      <c r="M21">
        <v>60</v>
      </c>
      <c r="N21" t="s">
        <v>39</v>
      </c>
    </row>
    <row r="23" spans="1:21" x14ac:dyDescent="0.25">
      <c r="B23" t="s">
        <v>40</v>
      </c>
      <c r="C23" s="27">
        <f>C18*C19*C20*C21</f>
        <v>131040</v>
      </c>
      <c r="D23" t="s">
        <v>63</v>
      </c>
      <c r="L23" t="s">
        <v>40</v>
      </c>
      <c r="M23" s="27">
        <f>M18*M19*M20*M21</f>
        <v>131040</v>
      </c>
      <c r="N23" t="s">
        <v>63</v>
      </c>
    </row>
    <row r="25" spans="1:21" x14ac:dyDescent="0.25">
      <c r="B25" t="s">
        <v>41</v>
      </c>
      <c r="C25">
        <f>C23*C14</f>
        <v>390497889.59999996</v>
      </c>
      <c r="D25" t="s">
        <v>42</v>
      </c>
      <c r="L25" t="s">
        <v>41</v>
      </c>
      <c r="M25">
        <f>M23*M14</f>
        <v>195248944.79999998</v>
      </c>
      <c r="N25" t="s">
        <v>42</v>
      </c>
    </row>
    <row r="26" spans="1:21" x14ac:dyDescent="0.25">
      <c r="C26" s="37">
        <f>C25/1000000</f>
        <v>390.49788959999995</v>
      </c>
      <c r="D26" s="38" t="s">
        <v>43</v>
      </c>
      <c r="M26" s="37">
        <f>M25/1000000</f>
        <v>195.24894479999998</v>
      </c>
      <c r="N26" s="38" t="s">
        <v>43</v>
      </c>
    </row>
    <row r="27" spans="1:21" x14ac:dyDescent="0.25">
      <c r="C27" s="40">
        <v>8</v>
      </c>
      <c r="D27" s="38" t="s">
        <v>99</v>
      </c>
      <c r="E27" s="38"/>
      <c r="F27" s="38"/>
      <c r="G27" s="38"/>
      <c r="H27" s="38"/>
      <c r="I27" s="38"/>
      <c r="J27" s="38"/>
      <c r="K27" s="38"/>
      <c r="M27" s="40">
        <v>8</v>
      </c>
      <c r="N27" s="38" t="s">
        <v>99</v>
      </c>
      <c r="O27" s="38"/>
      <c r="P27" s="38"/>
      <c r="Q27" s="38"/>
      <c r="R27" s="38"/>
      <c r="S27" s="38"/>
      <c r="T27" s="38"/>
      <c r="U27" s="38"/>
    </row>
    <row r="28" spans="1:21" x14ac:dyDescent="0.25">
      <c r="C28" s="40">
        <f>C26*C27</f>
        <v>3123.9831167999996</v>
      </c>
      <c r="D28" s="38" t="s">
        <v>98</v>
      </c>
      <c r="E28" s="38"/>
      <c r="F28" s="38"/>
      <c r="G28" s="38"/>
      <c r="H28" s="38"/>
      <c r="I28" s="38"/>
      <c r="J28" s="38"/>
      <c r="K28" s="38"/>
      <c r="M28" s="40">
        <f>M26*M27</f>
        <v>1561.9915583999998</v>
      </c>
      <c r="N28" s="38" t="s">
        <v>98</v>
      </c>
      <c r="O28" s="38"/>
      <c r="P28" s="38"/>
      <c r="Q28" s="38"/>
      <c r="R28" s="38"/>
      <c r="S28" s="38"/>
      <c r="T28" s="38"/>
      <c r="U28" s="38"/>
    </row>
    <row r="30" spans="1:21" x14ac:dyDescent="0.25">
      <c r="A30" s="26" t="s">
        <v>95</v>
      </c>
    </row>
    <row r="32" spans="1:21" x14ac:dyDescent="0.25">
      <c r="A32" t="s">
        <v>69</v>
      </c>
      <c r="B32" t="s">
        <v>70</v>
      </c>
    </row>
    <row r="33" spans="1:3" x14ac:dyDescent="0.25">
      <c r="A33" t="s">
        <v>71</v>
      </c>
      <c r="B33" t="s">
        <v>72</v>
      </c>
    </row>
    <row r="34" spans="1:3" x14ac:dyDescent="0.25">
      <c r="A34" t="s">
        <v>73</v>
      </c>
      <c r="B34" t="s">
        <v>74</v>
      </c>
    </row>
    <row r="35" spans="1:3" x14ac:dyDescent="0.25">
      <c r="A35" t="s">
        <v>75</v>
      </c>
      <c r="B35" t="s">
        <v>76</v>
      </c>
    </row>
    <row r="36" spans="1:3" x14ac:dyDescent="0.25">
      <c r="A36" t="s">
        <v>77</v>
      </c>
      <c r="B36" t="s">
        <v>78</v>
      </c>
    </row>
    <row r="38" spans="1:3" x14ac:dyDescent="0.25">
      <c r="B38" t="s">
        <v>79</v>
      </c>
      <c r="C38" t="s">
        <v>80</v>
      </c>
    </row>
    <row r="39" spans="1:3" x14ac:dyDescent="0.25">
      <c r="A39" t="s">
        <v>81</v>
      </c>
      <c r="B39">
        <v>495</v>
      </c>
      <c r="C39">
        <v>0.04</v>
      </c>
    </row>
    <row r="40" spans="1:3" x14ac:dyDescent="0.25">
      <c r="A40" t="s">
        <v>82</v>
      </c>
      <c r="B40">
        <v>423</v>
      </c>
      <c r="C40">
        <v>0.01</v>
      </c>
    </row>
    <row r="41" spans="1:3" x14ac:dyDescent="0.25">
      <c r="A41" t="s">
        <v>83</v>
      </c>
      <c r="B41">
        <v>420</v>
      </c>
      <c r="C41">
        <v>0.02</v>
      </c>
    </row>
    <row r="42" spans="1:3" x14ac:dyDescent="0.25">
      <c r="A42" t="s">
        <v>84</v>
      </c>
      <c r="B42">
        <v>330</v>
      </c>
      <c r="C42">
        <v>0.04</v>
      </c>
    </row>
    <row r="43" spans="1:3" x14ac:dyDescent="0.25">
      <c r="A43" t="s">
        <v>85</v>
      </c>
      <c r="B43">
        <v>239</v>
      </c>
      <c r="C43">
        <v>0.08</v>
      </c>
    </row>
    <row r="44" spans="1:3" x14ac:dyDescent="0.25">
      <c r="A44" t="s">
        <v>86</v>
      </c>
      <c r="B44">
        <v>139</v>
      </c>
      <c r="C44">
        <v>0.03</v>
      </c>
    </row>
    <row r="45" spans="1:3" x14ac:dyDescent="0.25">
      <c r="A45" t="s">
        <v>87</v>
      </c>
      <c r="B45">
        <v>138</v>
      </c>
      <c r="C45">
        <v>7.0000000000000007E-2</v>
      </c>
    </row>
    <row r="46" spans="1:3" x14ac:dyDescent="0.25">
      <c r="A46" t="s">
        <v>88</v>
      </c>
      <c r="B46">
        <v>302</v>
      </c>
      <c r="C46">
        <v>7.0000000000000007E-2</v>
      </c>
    </row>
    <row r="47" spans="1:3" x14ac:dyDescent="0.25">
      <c r="A47" t="s">
        <v>89</v>
      </c>
      <c r="B47">
        <v>412</v>
      </c>
      <c r="C47">
        <v>0.05</v>
      </c>
    </row>
    <row r="48" spans="1:3" x14ac:dyDescent="0.25">
      <c r="A48" t="s">
        <v>90</v>
      </c>
      <c r="B48">
        <v>507</v>
      </c>
      <c r="C48">
        <v>0.06</v>
      </c>
    </row>
    <row r="49" spans="1:3" x14ac:dyDescent="0.25">
      <c r="A49" t="s">
        <v>26</v>
      </c>
      <c r="B49">
        <v>3555</v>
      </c>
      <c r="C49">
        <v>0.06</v>
      </c>
    </row>
    <row r="50" spans="1:3" x14ac:dyDescent="0.25">
      <c r="A50" t="s">
        <v>91</v>
      </c>
      <c r="B50">
        <f>B49/365</f>
        <v>9.7397260273972606</v>
      </c>
    </row>
  </sheetData>
  <pageMargins left="0.7" right="0.7" top="0.75" bottom="0.75" header="0.3" footer="0.3"/>
  <pageSetup orientation="portrait" r:id="rId1"/>
  <customProperties>
    <customPr name="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"/>
  <sheetViews>
    <sheetView workbookViewId="0"/>
  </sheetViews>
  <sheetFormatPr defaultRowHeight="15" x14ac:dyDescent="0.25"/>
  <sheetData>
    <row r="1" spans="1:256" x14ac:dyDescent="0.25">
      <c r="A1" t="s">
        <v>100</v>
      </c>
      <c r="F1" t="e">
        <f>'Capital Cost'!A:A*"Tgo!%"</f>
        <v>#VALUE!</v>
      </c>
      <c r="G1" t="e">
        <f>'Capital Cost'!B:B*"Tgo!&amp;"</f>
        <v>#VALUE!</v>
      </c>
      <c r="H1" t="e">
        <f>'Capital Cost'!C:C*"Tgo!'"</f>
        <v>#VALUE!</v>
      </c>
      <c r="I1" t="e">
        <f>'Capital Cost'!D:D*"Tgo!("</f>
        <v>#VALUE!</v>
      </c>
      <c r="J1" t="e">
        <f>'Capital Cost'!E:E*"Tgo!)"</f>
        <v>#VALUE!</v>
      </c>
      <c r="K1" t="e">
        <f>'Capital Cost'!F:F*"Tgo!."</f>
        <v>#VALUE!</v>
      </c>
      <c r="L1" t="e">
        <f>'Capital Cost'!G:G*"Tgo!/"</f>
        <v>#VALUE!</v>
      </c>
      <c r="M1" t="e">
        <f>'Capital Cost'!H:H*"Tgo!0"</f>
        <v>#VALUE!</v>
      </c>
      <c r="N1" t="e">
        <f>'Capital Cost'!I:I*"Tgo!1"</f>
        <v>#VALUE!</v>
      </c>
      <c r="O1" t="e">
        <f>'Capital Cost'!J:J*"Tgo!2"</f>
        <v>#VALUE!</v>
      </c>
      <c r="P1" t="e">
        <f>'Capital Cost'!K:K*"Tgo!3"</f>
        <v>#VALUE!</v>
      </c>
      <c r="Q1" t="e">
        <f>'Capital Cost'!L:L*"Tgo!4"</f>
        <v>#VALUE!</v>
      </c>
      <c r="R1" t="e">
        <f>'Capital Cost'!M:M*"Tgo!5"</f>
        <v>#VALUE!</v>
      </c>
      <c r="S1" t="e">
        <f>'Capital Cost'!N:N*"Tgo!6"</f>
        <v>#VALUE!</v>
      </c>
      <c r="T1" t="e">
        <f>'Capital Cost'!O:O*"Tgo!7"</f>
        <v>#VALUE!</v>
      </c>
      <c r="U1" t="e">
        <f>'Capital Cost'!P:P*"Tgo!8"</f>
        <v>#VALUE!</v>
      </c>
      <c r="V1" t="e">
        <f>'Capital Cost'!Q:Q*"Tgo!9"</f>
        <v>#VALUE!</v>
      </c>
      <c r="W1" t="e">
        <f>'Capital Cost'!R:R*"Tgo!:"</f>
        <v>#VALUE!</v>
      </c>
      <c r="X1" t="e">
        <f>'Capital Cost'!S:S*"Tgo!;"</f>
        <v>#VALUE!</v>
      </c>
      <c r="Y1" t="e">
        <f>'Capital Cost'!T:T*"Tgo!&lt;"</f>
        <v>#VALUE!</v>
      </c>
      <c r="Z1" t="e">
        <f>'Capital Cost'!U:U*"Tgo!="</f>
        <v>#VALUE!</v>
      </c>
      <c r="AA1" t="e">
        <f>'Capital Cost'!V:V*"Tgo!&gt;"</f>
        <v>#VALUE!</v>
      </c>
      <c r="AB1" t="e">
        <f>'Capital Cost'!W:W*"Tgo!?"</f>
        <v>#VALUE!</v>
      </c>
      <c r="AC1" t="e">
        <f>'Capital Cost'!X:X*"Tgo!@"</f>
        <v>#VALUE!</v>
      </c>
      <c r="AD1" t="e">
        <f>'Capital Cost'!Y:Y*"Tgo!A"</f>
        <v>#VALUE!</v>
      </c>
      <c r="AE1" t="e">
        <f>'Capital Cost'!Z:Z*"Tgo!B"</f>
        <v>#VALUE!</v>
      </c>
      <c r="AF1" t="e">
        <f>'Capital Cost'!AA:AA*"Tgo!C"</f>
        <v>#VALUE!</v>
      </c>
      <c r="AG1" t="e">
        <f>'Capital Cost'!AB:AB*"Tgo!D"</f>
        <v>#VALUE!</v>
      </c>
      <c r="AH1" t="e">
        <f>'Capital Cost'!AC:AC*"Tgo!E"</f>
        <v>#VALUE!</v>
      </c>
      <c r="AI1" t="e">
        <f>'Capital Cost'!AD:AD*"Tgo!F"</f>
        <v>#VALUE!</v>
      </c>
      <c r="AJ1" t="e">
        <f>'Capital Cost'!AE:AE*"Tgo!G"</f>
        <v>#VALUE!</v>
      </c>
      <c r="AK1" t="e">
        <f>'Capital Cost'!AF:AF*"Tgo!H"</f>
        <v>#VALUE!</v>
      </c>
      <c r="AL1" t="e">
        <f>'Capital Cost'!AG:AG*"Tgo!I"</f>
        <v>#VALUE!</v>
      </c>
      <c r="AM1" t="e">
        <f>'Capital Cost'!AH:AH*"Tgo!J"</f>
        <v>#VALUE!</v>
      </c>
      <c r="AN1" t="e">
        <f>'Capital Cost'!AI:AI*"Tgo!K"</f>
        <v>#VALUE!</v>
      </c>
      <c r="AO1" t="e">
        <f>'Capital Cost'!AJ:AJ*"Tgo!L"</f>
        <v>#VALUE!</v>
      </c>
      <c r="AP1" t="e">
        <f>'Capital Cost'!AK:AK*"Tgo!M"</f>
        <v>#VALUE!</v>
      </c>
      <c r="AQ1" t="e">
        <f>'Capital Cost'!AL:AL*"Tgo!N"</f>
        <v>#VALUE!</v>
      </c>
      <c r="AR1" t="e">
        <f>'Capital Cost'!AM:AM*"Tgo!O"</f>
        <v>#VALUE!</v>
      </c>
      <c r="AS1" t="e">
        <f>'Capital Cost'!AN:AN*"Tgo!P"</f>
        <v>#VALUE!</v>
      </c>
      <c r="AT1" t="e">
        <f>'Capital Cost'!AO:AO*"Tgo!Q"</f>
        <v>#VALUE!</v>
      </c>
      <c r="AU1" t="e">
        <f>'Capital Cost'!AP:AP*"Tgo!R"</f>
        <v>#VALUE!</v>
      </c>
      <c r="AV1" t="e">
        <f>'Capital Cost'!AQ:AQ*"Tgo!S"</f>
        <v>#VALUE!</v>
      </c>
      <c r="AW1" t="e">
        <f>'Capital Cost'!AR:AR*"Tgo!T"</f>
        <v>#VALUE!</v>
      </c>
      <c r="AX1" t="e">
        <f>'Capital Cost'!AS:AS*"Tgo!U"</f>
        <v>#VALUE!</v>
      </c>
      <c r="AY1" t="e">
        <f>'Capital Cost'!AT:AT*"Tgo!V"</f>
        <v>#VALUE!</v>
      </c>
      <c r="AZ1" t="e">
        <f>'Capital Cost'!AU:AU*"Tgo!W"</f>
        <v>#VALUE!</v>
      </c>
      <c r="BA1" t="e">
        <f>'Capital Cost'!AV:AV*"Tgo!X"</f>
        <v>#VALUE!</v>
      </c>
      <c r="BB1" t="e">
        <f>'Capital Cost'!AW:AW*"Tgo!Y"</f>
        <v>#VALUE!</v>
      </c>
      <c r="BC1" t="e">
        <f>'Capital Cost'!AX:AX*"Tgo!Z"</f>
        <v>#VALUE!</v>
      </c>
      <c r="BD1" t="e">
        <f>'Capital Cost'!AY:AY*"Tgo!["</f>
        <v>#VALUE!</v>
      </c>
      <c r="BE1" t="e">
        <f>'Capital Cost'!AZ:AZ*"Tgo!\"</f>
        <v>#VALUE!</v>
      </c>
      <c r="BF1" t="e">
        <f>'Capital Cost'!1:1-"Tgo!]"</f>
        <v>#VALUE!</v>
      </c>
      <c r="BG1" t="e">
        <f>'Capital Cost'!2:2-"Tgo!^"</f>
        <v>#VALUE!</v>
      </c>
      <c r="BH1" t="e">
        <f>'Capital Cost'!3:3-"Tgo!_"</f>
        <v>#VALUE!</v>
      </c>
      <c r="BI1" t="e">
        <f>'Capital Cost'!4:4-"Tgo!`"</f>
        <v>#VALUE!</v>
      </c>
      <c r="BJ1" t="e">
        <f>'Capital Cost'!5:5-"Tgo!a"</f>
        <v>#VALUE!</v>
      </c>
      <c r="BK1" t="e">
        <f>'Capital Cost'!6:6-"Tgo!b"</f>
        <v>#VALUE!</v>
      </c>
      <c r="BL1" t="e">
        <f>'Capital Cost'!7:7-"Tgo!c"</f>
        <v>#VALUE!</v>
      </c>
      <c r="BM1" t="e">
        <f>'Capital Cost'!8:8-"Tgo!d"</f>
        <v>#VALUE!</v>
      </c>
      <c r="BN1" t="e">
        <f>'Capital Cost'!9:9-"Tgo!e"</f>
        <v>#VALUE!</v>
      </c>
      <c r="BO1" t="e">
        <f>'Capital Cost'!10:10-"Tgo!f"</f>
        <v>#VALUE!</v>
      </c>
      <c r="BP1" t="e">
        <f>'Capital Cost'!11:11-"Tgo!g"</f>
        <v>#VALUE!</v>
      </c>
      <c r="BQ1" t="e">
        <f>'Capital Cost'!12:12-"Tgo!h"</f>
        <v>#VALUE!</v>
      </c>
      <c r="BR1" t="e">
        <f>'Capital Cost'!13:13-"Tgo!i"</f>
        <v>#VALUE!</v>
      </c>
      <c r="BS1" t="e">
        <f>'Capital Cost'!14:14-"Tgo!j"</f>
        <v>#VALUE!</v>
      </c>
      <c r="BT1" t="e">
        <f>'Capital Cost'!15:15-"Tgo!k"</f>
        <v>#VALUE!</v>
      </c>
      <c r="BU1" t="e">
        <f>'Capital Cost'!16:16-"Tgo!l"</f>
        <v>#VALUE!</v>
      </c>
      <c r="BV1" t="e">
        <f>'Capital Cost'!17:17-"Tgo!m"</f>
        <v>#VALUE!</v>
      </c>
      <c r="BW1" t="e">
        <f>'Capital Cost'!18:18-"Tgo!n"</f>
        <v>#VALUE!</v>
      </c>
      <c r="BX1" t="e">
        <f>'Capital Cost'!19:19-"Tgo!o"</f>
        <v>#VALUE!</v>
      </c>
      <c r="BY1" t="e">
        <f>'Capital Cost'!20:20-"Tgo!p"</f>
        <v>#VALUE!</v>
      </c>
      <c r="BZ1" t="e">
        <f>'Capital Cost'!21:21-"Tgo!q"</f>
        <v>#VALUE!</v>
      </c>
      <c r="CA1" t="e">
        <f>'Capital Cost'!22:22-"Tgo!r"</f>
        <v>#VALUE!</v>
      </c>
      <c r="CB1" t="e">
        <f>'Capital Cost'!23:23-"Tgo!s"</f>
        <v>#VALUE!</v>
      </c>
      <c r="CC1" t="e">
        <f>'Capital Cost'!24:24-"Tgo!t"</f>
        <v>#VALUE!</v>
      </c>
      <c r="CD1" t="e">
        <f>'Capital Cost'!25:25-"Tgo!u"</f>
        <v>#VALUE!</v>
      </c>
      <c r="CE1" t="e">
        <f>'Capital Cost'!26:26-"Tgo!v"</f>
        <v>#VALUE!</v>
      </c>
      <c r="CF1" t="e">
        <f>'Capital Cost'!27:27-"Tgo!w"</f>
        <v>#VALUE!</v>
      </c>
      <c r="CG1" t="e">
        <f>'Capital Cost'!28:28-"Tgo!x"</f>
        <v>#VALUE!</v>
      </c>
      <c r="CH1" t="e">
        <f>'Capital Cost'!29:29-"Tgo!y"</f>
        <v>#VALUE!</v>
      </c>
      <c r="CI1" t="e">
        <f>'Capital Cost'!30:30-"Tgo!z"</f>
        <v>#VALUE!</v>
      </c>
      <c r="CJ1" t="e">
        <f>'Capital Cost'!31:31-"Tgo!{"</f>
        <v>#VALUE!</v>
      </c>
      <c r="CK1" t="e">
        <f>'Capital Cost'!32:32-"Tgo!|"</f>
        <v>#VALUE!</v>
      </c>
      <c r="CL1" t="e">
        <f>'Capital Cost'!33:33-"Tgo!}"</f>
        <v>#VALUE!</v>
      </c>
      <c r="CM1" t="e">
        <f>'Capital Cost'!34:34-"Tgo!~"</f>
        <v>#VALUE!</v>
      </c>
      <c r="CN1" t="e">
        <f>'Capital Cost'!35:35-"Tgo!$#"</f>
        <v>#VALUE!</v>
      </c>
      <c r="CO1" t="e">
        <f>'Capital Cost'!36:36-"Tgo!$$"</f>
        <v>#VALUE!</v>
      </c>
      <c r="CP1" t="e">
        <f>'Capital Cost'!37:37-"Tgo!$%"</f>
        <v>#VALUE!</v>
      </c>
      <c r="CQ1" t="e">
        <f>'Capital Cost'!38:38-"Tgo!$&amp;"</f>
        <v>#VALUE!</v>
      </c>
      <c r="CR1" t="e">
        <f>'Capital Cost'!39:39-"Tgo!$'"</f>
        <v>#VALUE!</v>
      </c>
      <c r="CS1" t="e">
        <f>'Capital Cost'!40:40-"Tgo!$("</f>
        <v>#VALUE!</v>
      </c>
      <c r="CT1" t="e">
        <f>'Capital Cost'!41:41-"Tgo!$)"</f>
        <v>#VALUE!</v>
      </c>
      <c r="CU1" t="e">
        <f>'Capital Cost'!42:42-"Tgo!$."</f>
        <v>#VALUE!</v>
      </c>
      <c r="CV1" t="e">
        <f>'Capital Cost'!43:43-"Tgo!$/"</f>
        <v>#VALUE!</v>
      </c>
      <c r="CW1" t="e">
        <f>'Capital Cost'!44:44-"Tgo!$0"</f>
        <v>#VALUE!</v>
      </c>
      <c r="CX1" t="e">
        <f>'Capital Cost'!45:45-"Tgo!$1"</f>
        <v>#VALUE!</v>
      </c>
      <c r="CY1" t="e">
        <f>'Capital Cost'!46:46-"Tgo!$2"</f>
        <v>#VALUE!</v>
      </c>
      <c r="CZ1" t="e">
        <f>'Capital Cost'!47:47-"Tgo!$3"</f>
        <v>#VALUE!</v>
      </c>
      <c r="DA1" t="e">
        <f>'Capital Cost'!48:48-"Tgo!$4"</f>
        <v>#VALUE!</v>
      </c>
      <c r="DB1" t="e">
        <f>'Capital Cost'!49:49-"Tgo!$5"</f>
        <v>#VALUE!</v>
      </c>
      <c r="DC1" t="e">
        <f>'Capital Cost'!50:50-"Tgo!$6"</f>
        <v>#VALUE!</v>
      </c>
      <c r="DD1" t="e">
        <f>'Capital Cost'!51:51-"Tgo!$7"</f>
        <v>#VALUE!</v>
      </c>
      <c r="DE1" t="e">
        <f>'Capital Cost'!52:52-"Tgo!$8"</f>
        <v>#VALUE!</v>
      </c>
      <c r="DF1" t="e">
        <f>'Capital Cost'!53:53-"Tgo!$9"</f>
        <v>#VALUE!</v>
      </c>
      <c r="DG1" t="e">
        <f>'Capital Cost'!54:54-"Tgo!$:"</f>
        <v>#VALUE!</v>
      </c>
      <c r="DH1" t="e">
        <f>'Capital Cost'!55:55-"Tgo!$;"</f>
        <v>#VALUE!</v>
      </c>
      <c r="DI1" t="e">
        <f>'Capital Cost'!56:56-"Tgo!$&lt;"</f>
        <v>#VALUE!</v>
      </c>
      <c r="DJ1" t="e">
        <f>'Capital Cost'!57:57-"Tgo!$="</f>
        <v>#VALUE!</v>
      </c>
      <c r="DK1" t="e">
        <f>'Capital Cost'!58:58-"Tgo!$&gt;"</f>
        <v>#VALUE!</v>
      </c>
      <c r="DL1" t="e">
        <f>'Capital Cost'!59:59-"Tgo!$?"</f>
        <v>#VALUE!</v>
      </c>
      <c r="DM1" t="e">
        <f>'Capital Cost'!60:60-"Tgo!$@"</f>
        <v>#VALUE!</v>
      </c>
      <c r="DN1" t="e">
        <f>'Capital Cost'!61:61-"Tgo!$A"</f>
        <v>#VALUE!</v>
      </c>
      <c r="DO1" t="e">
        <f>'Capital Cost'!62:62-"Tgo!$B"</f>
        <v>#VALUE!</v>
      </c>
      <c r="DP1" t="e">
        <f>'Capital Cost'!63:63-"Tgo!$C"</f>
        <v>#VALUE!</v>
      </c>
      <c r="DQ1" t="e">
        <f>'Capital Cost'!64:64-"Tgo!$D"</f>
        <v>#VALUE!</v>
      </c>
      <c r="DR1" t="e">
        <f>'Capital Cost'!65:65-"Tgo!$E"</f>
        <v>#VALUE!</v>
      </c>
      <c r="DS1" t="e">
        <f>'Capital Cost'!66:66-"Tgo!$F"</f>
        <v>#VALUE!</v>
      </c>
      <c r="DT1" t="e">
        <f>'Capital Cost'!67:67-"Tgo!$G"</f>
        <v>#VALUE!</v>
      </c>
      <c r="DU1" t="e">
        <f>'Capital Cost'!68:68-"Tgo!$H"</f>
        <v>#VALUE!</v>
      </c>
      <c r="DV1" t="e">
        <f>'Capital Cost'!69:69-"Tgo!$I"</f>
        <v>#VALUE!</v>
      </c>
      <c r="DW1" t="e">
        <f>'Capital Cost'!70:70-"Tgo!$J"</f>
        <v>#VALUE!</v>
      </c>
      <c r="DX1" t="e">
        <f>'Capital Cost'!71:71-"Tgo!$K"</f>
        <v>#VALUE!</v>
      </c>
      <c r="DY1" t="e">
        <f>'Capital Cost'!72:72-"Tgo!$L"</f>
        <v>#VALUE!</v>
      </c>
      <c r="DZ1" t="e">
        <f>'Capital Cost'!73:73-"Tgo!$M"</f>
        <v>#VALUE!</v>
      </c>
      <c r="EA1" t="e">
        <f>'Capital Cost'!74:74-"Tgo!$N"</f>
        <v>#VALUE!</v>
      </c>
      <c r="EB1" t="e">
        <f>'Capital Cost'!75:75-"Tgo!$O"</f>
        <v>#VALUE!</v>
      </c>
      <c r="EC1" t="e">
        <f>'Capital Cost'!76:76-"Tgo!$P"</f>
        <v>#VALUE!</v>
      </c>
      <c r="ED1" t="e">
        <f>'Capital Cost'!77:77-"Tgo!$Q"</f>
        <v>#VALUE!</v>
      </c>
      <c r="EE1" t="e">
        <f>'Capital Cost'!78:78-"Tgo!$R"</f>
        <v>#VALUE!</v>
      </c>
      <c r="EF1" t="e">
        <f>'Capital Cost'!79:79-"Tgo!$S"</f>
        <v>#VALUE!</v>
      </c>
      <c r="EG1" t="e">
        <f>'Capital Cost'!80:80-"Tgo!$T"</f>
        <v>#VALUE!</v>
      </c>
      <c r="EH1" t="e">
        <f>'Capital Cost'!81:81-"Tgo!$U"</f>
        <v>#VALUE!</v>
      </c>
      <c r="EI1" t="e">
        <f>'Capital Cost'!82:82-"Tgo!$V"</f>
        <v>#VALUE!</v>
      </c>
      <c r="EJ1" t="e">
        <f>'Capital Cost'!83:83-"Tgo!$W"</f>
        <v>#VALUE!</v>
      </c>
      <c r="EK1" t="e">
        <f>'Capital Cost'!84:84-"Tgo!$X"</f>
        <v>#VALUE!</v>
      </c>
      <c r="EL1" t="e">
        <f>'Capital Cost'!85:85-"Tgo!$Y"</f>
        <v>#VALUE!</v>
      </c>
      <c r="EM1" t="e">
        <f>'Capital Cost'!86:86-"Tgo!$Z"</f>
        <v>#VALUE!</v>
      </c>
      <c r="EN1" t="e">
        <f>'Capital Cost'!87:87-"Tgo!$["</f>
        <v>#VALUE!</v>
      </c>
      <c r="EO1" t="e">
        <f>'Capital Cost'!88:88-"Tgo!$\"</f>
        <v>#VALUE!</v>
      </c>
      <c r="EP1" t="e">
        <f>'Capital Cost'!89:89-"Tgo!$]"</f>
        <v>#VALUE!</v>
      </c>
      <c r="EQ1" t="e">
        <f>'Capital Cost'!90:90-"Tgo!$^"</f>
        <v>#VALUE!</v>
      </c>
      <c r="ER1" t="e">
        <f>'Capital Cost'!91:91-"Tgo!$_"</f>
        <v>#VALUE!</v>
      </c>
      <c r="ES1" t="e">
        <f>'Capital Cost'!92:92-"Tgo!$`"</f>
        <v>#VALUE!</v>
      </c>
      <c r="ET1" t="e">
        <f>'Capital Cost'!93:93-"Tgo!$a"</f>
        <v>#VALUE!</v>
      </c>
      <c r="EU1" t="e">
        <f>'Capital Cost'!94:94-"Tgo!$b"</f>
        <v>#VALUE!</v>
      </c>
      <c r="EV1" t="e">
        <f>'Capital Cost'!95:95-"Tgo!$c"</f>
        <v>#VALUE!</v>
      </c>
      <c r="EW1" t="e">
        <f>'Capital Cost'!96:96-"Tgo!$d"</f>
        <v>#VALUE!</v>
      </c>
      <c r="EX1" t="e">
        <f>'Capital Cost'!97:97-"Tgo!$e"</f>
        <v>#VALUE!</v>
      </c>
      <c r="EY1" t="e">
        <f>'Capital Cost'!98:98-"Tgo!$f"</f>
        <v>#VALUE!</v>
      </c>
      <c r="EZ1" t="e">
        <f>'Capital Cost'!99:99-"Tgo!$g"</f>
        <v>#VALUE!</v>
      </c>
      <c r="FA1" t="e">
        <f>'Capital Cost'!100:100-"Tgo!$h"</f>
        <v>#VALUE!</v>
      </c>
      <c r="FB1" t="e">
        <f>'Capital Cost'!101:101-"Tgo!$i"</f>
        <v>#VALUE!</v>
      </c>
      <c r="FC1" t="e">
        <f>'Capital Cost'!102:102-"Tgo!$j"</f>
        <v>#VALUE!</v>
      </c>
      <c r="FD1" t="e">
        <f>'Capital Cost'!103:103-"Tgo!$k"</f>
        <v>#VALUE!</v>
      </c>
      <c r="FE1" t="e">
        <f>'Capital Cost'!104:104-"Tgo!$l"</f>
        <v>#VALUE!</v>
      </c>
      <c r="FF1" t="e">
        <f>'Capital Cost'!105:105-"Tgo!$m"</f>
        <v>#VALUE!</v>
      </c>
      <c r="FG1" t="e">
        <f>'Capital Cost'!106:106-"Tgo!$n"</f>
        <v>#VALUE!</v>
      </c>
      <c r="FH1" t="e">
        <f>'Capital Cost'!107:107-"Tgo!$o"</f>
        <v>#VALUE!</v>
      </c>
      <c r="FI1" t="e">
        <f>'Capital Cost'!108:108-"Tgo!$p"</f>
        <v>#VALUE!</v>
      </c>
      <c r="FJ1" t="e">
        <f>'Capital Cost'!109:109-"Tgo!$q"</f>
        <v>#VALUE!</v>
      </c>
      <c r="FK1" t="e">
        <f>'Capital Cost'!110:110-"Tgo!$r"</f>
        <v>#VALUE!</v>
      </c>
      <c r="FL1" t="e">
        <f>'Capital Cost'!111:111-"Tgo!$s"</f>
        <v>#VALUE!</v>
      </c>
      <c r="FM1" t="e">
        <f>'Capital Cost'!112:112-"Tgo!$t"</f>
        <v>#VALUE!</v>
      </c>
      <c r="FN1" t="e">
        <f>'Capital Cost'!113:113-"Tgo!$u"</f>
        <v>#VALUE!</v>
      </c>
      <c r="FO1" t="e">
        <f>'Capital Cost'!114:114-"Tgo!$v"</f>
        <v>#VALUE!</v>
      </c>
      <c r="FP1" t="e">
        <f>'Capital Cost'!115:115-"Tgo!$w"</f>
        <v>#VALUE!</v>
      </c>
      <c r="FQ1" t="e">
        <f>'Capital Cost'!116:116-"Tgo!$x"</f>
        <v>#VALUE!</v>
      </c>
      <c r="FR1" t="e">
        <f>'Capital Cost'!117:117-"Tgo!$y"</f>
        <v>#VALUE!</v>
      </c>
      <c r="FS1" t="e">
        <f>'Capital Cost'!118:118-"Tgo!$z"</f>
        <v>#VALUE!</v>
      </c>
      <c r="FT1" t="e">
        <f>'Capital Cost'!119:119-"Tgo!${"</f>
        <v>#VALUE!</v>
      </c>
      <c r="FU1" t="e">
        <f>'Capital Cost'!120:120-"Tgo!$|"</f>
        <v>#VALUE!</v>
      </c>
      <c r="FV1" t="e">
        <f>'Capital Cost'!121:121-"Tgo!$}"</f>
        <v>#VALUE!</v>
      </c>
      <c r="FW1" t="e">
        <f>'Capital Cost'!122:122-"Tgo!$~"</f>
        <v>#VALUE!</v>
      </c>
      <c r="FX1" t="e">
        <f>'Capital Cost'!123:123-"Tgo!%#"</f>
        <v>#VALUE!</v>
      </c>
      <c r="FY1" t="e">
        <f>'Capital Cost'!124:124-"Tgo!%$"</f>
        <v>#VALUE!</v>
      </c>
      <c r="FZ1" t="e">
        <f>'Capital Cost'!125:125-"Tgo!%%"</f>
        <v>#VALUE!</v>
      </c>
      <c r="GA1" t="e">
        <f>'Capital Cost'!126:126-"Tgo!%&amp;"</f>
        <v>#VALUE!</v>
      </c>
      <c r="GB1" t="e">
        <f>'Capital Cost'!127:127-"Tgo!%'"</f>
        <v>#VALUE!</v>
      </c>
      <c r="GC1" t="e">
        <f>'Capital Cost'!128:128-"Tgo!%("</f>
        <v>#VALUE!</v>
      </c>
      <c r="GD1" t="e">
        <f>'Capital Cost'!129:129-"Tgo!%)"</f>
        <v>#VALUE!</v>
      </c>
      <c r="GE1" t="e">
        <f>'Capital Cost'!130:130-"Tgo!%."</f>
        <v>#VALUE!</v>
      </c>
      <c r="GF1" t="e">
        <f>'Capital Cost'!131:131-"Tgo!%/"</f>
        <v>#VALUE!</v>
      </c>
      <c r="GG1" t="e">
        <f>'Capital Cost'!132:132-"Tgo!%0"</f>
        <v>#VALUE!</v>
      </c>
      <c r="GH1" t="e">
        <f>'Capital Cost'!133:133-"Tgo!%1"</f>
        <v>#VALUE!</v>
      </c>
      <c r="GI1" t="e">
        <f>'Capital Cost'!134:134-"Tgo!%2"</f>
        <v>#VALUE!</v>
      </c>
      <c r="GJ1" t="e">
        <f>'Capital Cost'!135:135-"Tgo!%3"</f>
        <v>#VALUE!</v>
      </c>
      <c r="GK1" t="e">
        <f>'Capital Cost'!136:136-"Tgo!%4"</f>
        <v>#VALUE!</v>
      </c>
      <c r="GL1" t="e">
        <f>'Capital Cost'!137:137-"Tgo!%5"</f>
        <v>#VALUE!</v>
      </c>
      <c r="GM1" t="e">
        <f>'Capital Cost'!138:138-"Tgo!%6"</f>
        <v>#VALUE!</v>
      </c>
      <c r="GN1" t="e">
        <f>'Capital Cost'!139:139-"Tgo!%7"</f>
        <v>#VALUE!</v>
      </c>
      <c r="GO1" t="e">
        <f>'Capital Cost'!140:140-"Tgo!%8"</f>
        <v>#VALUE!</v>
      </c>
      <c r="GP1" t="e">
        <f>'Capital Cost'!141:141-"Tgo!%9"</f>
        <v>#VALUE!</v>
      </c>
      <c r="GQ1" t="e">
        <f>'Capital Cost'!142:142-"Tgo!%:"</f>
        <v>#VALUE!</v>
      </c>
      <c r="GR1" t="e">
        <f>'Capital Cost'!143:143-"Tgo!%;"</f>
        <v>#VALUE!</v>
      </c>
      <c r="GS1" t="e">
        <f>'Capital Cost'!144:144-"Tgo!%&lt;"</f>
        <v>#VALUE!</v>
      </c>
      <c r="GT1" t="e">
        <f>'Capital Cost'!145:145-"Tgo!%="</f>
        <v>#VALUE!</v>
      </c>
      <c r="GU1" t="e">
        <f>'Capital Cost'!146:146-"Tgo!%&gt;"</f>
        <v>#VALUE!</v>
      </c>
      <c r="GV1" t="e">
        <f>'Capital Cost'!147:147-"Tgo!%?"</f>
        <v>#VALUE!</v>
      </c>
      <c r="GW1" t="e">
        <f>'Capital Cost'!148:148-"Tgo!%@"</f>
        <v>#VALUE!</v>
      </c>
      <c r="GX1" t="e">
        <f>'Capital Cost'!149:149-"Tgo!%A"</f>
        <v>#VALUE!</v>
      </c>
      <c r="GY1" t="e">
        <f>'Capital Cost'!150:150-"Tgo!%B"</f>
        <v>#VALUE!</v>
      </c>
      <c r="GZ1" t="e">
        <f>'Capital Cost'!151:151-"Tgo!%C"</f>
        <v>#VALUE!</v>
      </c>
      <c r="HA1" t="e">
        <f>'Capital Cost'!152:152-"Tgo!%D"</f>
        <v>#VALUE!</v>
      </c>
      <c r="HB1" t="e">
        <f>'Capital Cost'!153:153-"Tgo!%E"</f>
        <v>#VALUE!</v>
      </c>
      <c r="HC1" t="e">
        <f>'Capital Cost'!154:154-"Tgo!%F"</f>
        <v>#VALUE!</v>
      </c>
      <c r="HD1" t="e">
        <f>'Capital Cost'!155:155-"Tgo!%G"</f>
        <v>#VALUE!</v>
      </c>
      <c r="HE1" t="e">
        <f>'Capital Cost'!156:156-"Tgo!%H"</f>
        <v>#VALUE!</v>
      </c>
      <c r="HF1" t="e">
        <f>'Capital Cost'!157:157-"Tgo!%I"</f>
        <v>#VALUE!</v>
      </c>
      <c r="HG1" t="e">
        <f>'Capital Cost'!158:158-"Tgo!%J"</f>
        <v>#VALUE!</v>
      </c>
      <c r="HH1" t="e">
        <f>'Capital Cost'!159:159-"Tgo!%K"</f>
        <v>#VALUE!</v>
      </c>
      <c r="HI1" t="e">
        <f>'Capital Cost'!160:160-"Tgo!%L"</f>
        <v>#VALUE!</v>
      </c>
      <c r="HJ1" t="e">
        <f>'Capital Cost'!161:161-"Tgo!%M"</f>
        <v>#VALUE!</v>
      </c>
      <c r="HK1" t="e">
        <f>'Capital Cost'!162:162-"Tgo!%N"</f>
        <v>#VALUE!</v>
      </c>
      <c r="HL1" t="e">
        <f>'Capital Cost'!163:163-"Tgo!%O"</f>
        <v>#VALUE!</v>
      </c>
      <c r="HM1" t="e">
        <f>'Capital Cost'!164:164-"Tgo!%P"</f>
        <v>#VALUE!</v>
      </c>
      <c r="HN1" t="e">
        <f>'Capital Cost'!165:165-"Tgo!%Q"</f>
        <v>#VALUE!</v>
      </c>
      <c r="HO1" t="e">
        <f>'Capital Cost'!166:166-"Tgo!%R"</f>
        <v>#VALUE!</v>
      </c>
      <c r="HP1" t="e">
        <f>'Capital Cost'!167:167-"Tgo!%S"</f>
        <v>#VALUE!</v>
      </c>
      <c r="HQ1" t="e">
        <f>'Capital Cost'!168:168-"Tgo!%T"</f>
        <v>#VALUE!</v>
      </c>
      <c r="HR1" t="e">
        <f>'Capital Cost'!169:169-"Tgo!%U"</f>
        <v>#VALUE!</v>
      </c>
      <c r="HS1" t="e">
        <f>'Capital Cost'!170:170-"Tgo!%V"</f>
        <v>#VALUE!</v>
      </c>
      <c r="HT1" t="e">
        <f>'Capital Cost'!171:171-"Tgo!%W"</f>
        <v>#VALUE!</v>
      </c>
      <c r="HU1" t="e">
        <f>'Capital Cost'!172:172-"Tgo!%X"</f>
        <v>#VALUE!</v>
      </c>
      <c r="HV1" t="e">
        <f>'Capital Cost'!173:173-"Tgo!%Y"</f>
        <v>#VALUE!</v>
      </c>
      <c r="HW1" t="e">
        <f>'Capital Cost'!174:174-"Tgo!%Z"</f>
        <v>#VALUE!</v>
      </c>
      <c r="HX1" t="e">
        <f>'Capital Cost'!175:175-"Tgo!%["</f>
        <v>#VALUE!</v>
      </c>
      <c r="HY1" t="e">
        <f>'Capital Cost'!176:176-"Tgo!%\"</f>
        <v>#VALUE!</v>
      </c>
      <c r="HZ1" t="e">
        <f>'Capital Cost'!177:177-"Tgo!%]"</f>
        <v>#VALUE!</v>
      </c>
      <c r="IA1" t="e">
        <f>'Capital Cost'!178:178-"Tgo!%^"</f>
        <v>#VALUE!</v>
      </c>
      <c r="IB1" t="e">
        <f>'Capital Cost'!179:179-"Tgo!%_"</f>
        <v>#VALUE!</v>
      </c>
      <c r="IC1" t="e">
        <f>'Capital Cost'!180:180-"Tgo!%`"</f>
        <v>#VALUE!</v>
      </c>
      <c r="ID1" t="e">
        <f>'Capital Cost'!181:181-"Tgo!%a"</f>
        <v>#VALUE!</v>
      </c>
      <c r="IE1" t="e">
        <f>'Capital Cost'!182:182-"Tgo!%b"</f>
        <v>#VALUE!</v>
      </c>
      <c r="IF1" t="e">
        <f>'Capital Cost'!183:183-"Tgo!%c"</f>
        <v>#VALUE!</v>
      </c>
      <c r="IG1" t="e">
        <f>'Capital Cost'!184:184-"Tgo!%d"</f>
        <v>#VALUE!</v>
      </c>
      <c r="IH1" t="e">
        <f>'Capital Cost'!185:185-"Tgo!%e"</f>
        <v>#VALUE!</v>
      </c>
      <c r="II1" t="e">
        <f>'Capital Cost'!186:186-"Tgo!%f"</f>
        <v>#VALUE!</v>
      </c>
      <c r="IJ1" t="e">
        <f>'Capital Cost'!187:187-"Tgo!%g"</f>
        <v>#VALUE!</v>
      </c>
      <c r="IK1" t="e">
        <f>'Capital Cost'!188:188-"Tgo!%h"</f>
        <v>#VALUE!</v>
      </c>
      <c r="IL1" t="e">
        <f>'Capital Cost'!189:189-"Tgo!%i"</f>
        <v>#VALUE!</v>
      </c>
      <c r="IM1" t="e">
        <f>'Capital Cost'!190:190-"Tgo!%j"</f>
        <v>#VALUE!</v>
      </c>
      <c r="IN1" t="e">
        <f>'Capital Cost'!191:191-"Tgo!%k"</f>
        <v>#VALUE!</v>
      </c>
      <c r="IO1" t="e">
        <f>'Capital Cost'!192:192-"Tgo!%l"</f>
        <v>#VALUE!</v>
      </c>
      <c r="IP1" t="e">
        <f>'Capital Cost'!193:193-"Tgo!%m"</f>
        <v>#VALUE!</v>
      </c>
      <c r="IQ1" t="e">
        <f>'Capital Cost'!194:194-"Tgo!%n"</f>
        <v>#VALUE!</v>
      </c>
      <c r="IR1" t="e">
        <f>'Capital Cost'!195:195-"Tgo!%o"</f>
        <v>#VALUE!</v>
      </c>
      <c r="IS1" t="e">
        <f>'Capital Cost'!196:196-"Tgo!%p"</f>
        <v>#VALUE!</v>
      </c>
      <c r="IT1" t="e">
        <f>'Capital Cost'!197:197-"Tgo!%q"</f>
        <v>#VALUE!</v>
      </c>
      <c r="IU1" t="e">
        <f>'Capital Cost'!198:198-"Tgo!%r"</f>
        <v>#VALUE!</v>
      </c>
      <c r="IV1" t="e">
        <f>'Capital Cost'!199:199-"Tgo!%s"</f>
        <v>#VALUE!</v>
      </c>
    </row>
    <row r="2" spans="1:256" x14ac:dyDescent="0.25">
      <c r="A2" t="s">
        <v>101</v>
      </c>
      <c r="F2" t="e">
        <f>'Capital Cost'!200:200-"Tgo!%t"</f>
        <v>#VALUE!</v>
      </c>
      <c r="G2" t="e">
        <f>'Capital Cost'!201:201-"Tgo!%u"</f>
        <v>#VALUE!</v>
      </c>
      <c r="H2" t="e">
        <f>'Capital Cost'!202:202-"Tgo!%v"</f>
        <v>#VALUE!</v>
      </c>
      <c r="I2" t="e">
        <f>'Capital Cost'!203:203-"Tgo!%w"</f>
        <v>#VALUE!</v>
      </c>
      <c r="J2" t="e">
        <f>'Capital Cost'!204:204-"Tgo!%x"</f>
        <v>#VALUE!</v>
      </c>
      <c r="K2" t="e">
        <f>'Capital Cost'!205:205-"Tgo!%y"</f>
        <v>#VALUE!</v>
      </c>
      <c r="L2" t="e">
        <f>'Capital Cost'!206:206-"Tgo!%z"</f>
        <v>#VALUE!</v>
      </c>
      <c r="M2" t="e">
        <f>'Capital Cost'!207:207-"Tgo!%{"</f>
        <v>#VALUE!</v>
      </c>
      <c r="N2" t="e">
        <f>'Capital Cost'!208:208-"Tgo!%|"</f>
        <v>#VALUE!</v>
      </c>
      <c r="O2" t="e">
        <f>'Capital Cost'!209:209-"Tgo!%}"</f>
        <v>#VALUE!</v>
      </c>
      <c r="P2" t="e">
        <f>'Capital Cost'!210:210-"Tgo!%~"</f>
        <v>#VALUE!</v>
      </c>
      <c r="Q2" t="e">
        <f>'Capital Cost'!211:211-"Tgo!&amp;#"</f>
        <v>#VALUE!</v>
      </c>
      <c r="R2" t="e">
        <f>'Capital Cost'!212:212-"Tgo!&amp;$"</f>
        <v>#VALUE!</v>
      </c>
      <c r="S2" t="e">
        <f>'Capital Cost'!213:213-"Tgo!&amp;%"</f>
        <v>#VALUE!</v>
      </c>
      <c r="T2" t="e">
        <f>'Capital Cost'!214:214-"Tgo!&amp;&amp;"</f>
        <v>#VALUE!</v>
      </c>
      <c r="U2" t="e">
        <f>'Capital Cost'!215:215-"Tgo!&amp;'"</f>
        <v>#VALUE!</v>
      </c>
      <c r="V2" t="e">
        <f>'Capital Cost'!216:216-"Tgo!&amp;("</f>
        <v>#VALUE!</v>
      </c>
      <c r="W2" t="e">
        <f>'Capital Cost'!217:217-"Tgo!&amp;)"</f>
        <v>#VALUE!</v>
      </c>
      <c r="X2" t="e">
        <f>'Capital Cost'!218:218-"Tgo!&amp;."</f>
        <v>#VALUE!</v>
      </c>
      <c r="Y2" t="e">
        <f>'Capital Cost'!219:219-"Tgo!&amp;/"</f>
        <v>#VALUE!</v>
      </c>
      <c r="Z2" t="e">
        <f>'Capital Cost'!220:220-"Tgo!&amp;0"</f>
        <v>#VALUE!</v>
      </c>
      <c r="AA2" t="e">
        <f>'Capital Cost'!221:221-"Tgo!&amp;1"</f>
        <v>#VALUE!</v>
      </c>
      <c r="AB2" t="e">
        <f>'Capital Cost'!222:222-"Tgo!&amp;2"</f>
        <v>#VALUE!</v>
      </c>
      <c r="AC2" t="e">
        <f>'Capital Cost'!223:223-"Tgo!&amp;3"</f>
        <v>#VALUE!</v>
      </c>
      <c r="AD2" t="e">
        <f>'Capital Cost'!224:224-"Tgo!&amp;4"</f>
        <v>#VALUE!</v>
      </c>
      <c r="AE2" t="e">
        <f>'Capital Cost'!225:225-"Tgo!&amp;5"</f>
        <v>#VALUE!</v>
      </c>
      <c r="AF2" t="e">
        <f>'Capital Cost'!226:226-"Tgo!&amp;6"</f>
        <v>#VALUE!</v>
      </c>
      <c r="AG2" t="e">
        <f>'Capital Cost'!227:227-"Tgo!&amp;7"</f>
        <v>#VALUE!</v>
      </c>
      <c r="AH2" t="e">
        <f>'Capital Cost'!A1+"Tgo!&amp;8"</f>
        <v>#VALUE!</v>
      </c>
      <c r="AI2" t="e">
        <f>'Capital Cost'!A2+"Tgo!&amp;9"</f>
        <v>#VALUE!</v>
      </c>
      <c r="AJ2" t="e">
        <f>'Capital Cost'!A4+"Tgo!&amp;:"</f>
        <v>#VALUE!</v>
      </c>
      <c r="AK2" t="e">
        <f>'Capital Cost'!B4+"Tgo!&amp;;"</f>
        <v>#VALUE!</v>
      </c>
      <c r="AL2" t="e">
        <f>'Capital Cost'!A5+"Tgo!&amp;&lt;"</f>
        <v>#VALUE!</v>
      </c>
      <c r="AM2" t="e">
        <f>'Capital Cost'!B5+"Tgo!&amp;="</f>
        <v>#VALUE!</v>
      </c>
      <c r="AN2" t="e">
        <f>'Capital Cost'!A6+"Tgo!&amp;&gt;"</f>
        <v>#VALUE!</v>
      </c>
      <c r="AO2" t="e">
        <f>'Capital Cost'!B6+"Tgo!&amp;?"</f>
        <v>#VALUE!</v>
      </c>
      <c r="AP2" t="e">
        <f>'Capital Cost'!A7+"Tgo!&amp;@"</f>
        <v>#VALUE!</v>
      </c>
      <c r="AQ2" t="e">
        <f>'Capital Cost'!B7+"Tgo!&amp;A"</f>
        <v>#VALUE!</v>
      </c>
      <c r="AR2" t="e">
        <f>'Capital Cost'!A8+"Tgo!&amp;B"</f>
        <v>#VALUE!</v>
      </c>
      <c r="AS2" t="e">
        <f>'Capital Cost'!B8+"Tgo!&amp;C"</f>
        <v>#VALUE!</v>
      </c>
      <c r="AT2" t="e">
        <f>'Capital Cost'!A9+"Tgo!&amp;D"</f>
        <v>#VALUE!</v>
      </c>
      <c r="AU2" t="e">
        <f>'Capital Cost'!B9+"Tgo!&amp;E"</f>
        <v>#VALUE!</v>
      </c>
      <c r="AV2" t="e">
        <f>'Capital Cost'!A10+"Tgo!&amp;F"</f>
        <v>#VALUE!</v>
      </c>
      <c r="AW2" t="e">
        <f>'Capital Cost'!B10+"Tgo!&amp;G"</f>
        <v>#VALUE!</v>
      </c>
      <c r="AX2" t="e">
        <f>'Capital Cost'!A11+"Tgo!&amp;H"</f>
        <v>#VALUE!</v>
      </c>
      <c r="AY2" t="e">
        <f>'Capital Cost'!B11+"Tgo!&amp;I"</f>
        <v>#VALUE!</v>
      </c>
      <c r="AZ2" t="e">
        <f>'Capital Cost'!B12+"Tgo!&amp;J"</f>
        <v>#VALUE!</v>
      </c>
      <c r="BA2" t="e">
        <f>'Capital Cost'!A15+"Tgo!&amp;K"</f>
        <v>#VALUE!</v>
      </c>
      <c r="BB2" t="e">
        <f>'Capital Cost'!B15+"Tgo!&amp;L"</f>
        <v>#VALUE!</v>
      </c>
      <c r="BC2" t="e">
        <f>'Capital Cost'!A16+"Tgo!&amp;M"</f>
        <v>#VALUE!</v>
      </c>
      <c r="BD2" t="e">
        <f>'Capital Cost'!B16+"Tgo!&amp;N"</f>
        <v>#VALUE!</v>
      </c>
      <c r="BE2" t="e">
        <f>'Capital Cost'!A17+"Tgo!&amp;O"</f>
        <v>#VALUE!</v>
      </c>
      <c r="BF2" t="e">
        <f>'Capital Cost'!B17+"Tgo!&amp;P"</f>
        <v>#VALUE!</v>
      </c>
      <c r="BG2" t="e">
        <f>'Capital Cost'!A18+"Tgo!&amp;Q"</f>
        <v>#VALUE!</v>
      </c>
      <c r="BH2" t="e">
        <f>'Capital Cost'!B18+"Tgo!&amp;R"</f>
        <v>#VALUE!</v>
      </c>
      <c r="BI2" t="e">
        <f>'Capital Cost'!A19+"Tgo!&amp;S"</f>
        <v>#VALUE!</v>
      </c>
      <c r="BJ2" t="e">
        <f>'Capital Cost'!B19+"Tgo!&amp;T"</f>
        <v>#VALUE!</v>
      </c>
      <c r="BK2" t="e">
        <f>'Capital Cost'!A20+"Tgo!&amp;U"</f>
        <v>#VALUE!</v>
      </c>
      <c r="BL2" t="e">
        <f>'Capital Cost'!B20+"Tgo!&amp;V"</f>
        <v>#VALUE!</v>
      </c>
      <c r="BM2" t="e">
        <f>'Capital Cost'!B21+"Tgo!&amp;W"</f>
        <v>#VALUE!</v>
      </c>
      <c r="BN2" t="e">
        <f>'Capital Cost'!A23+"Tgo!&amp;X"</f>
        <v>#VALUE!</v>
      </c>
      <c r="BO2" t="e">
        <f>'Capital Cost'!B23+"Tgo!&amp;Y"</f>
        <v>#VALUE!</v>
      </c>
      <c r="BP2" t="e">
        <f>'Capital Cost'!A24+"Tgo!&amp;Z"</f>
        <v>#VALUE!</v>
      </c>
      <c r="BQ2" t="e">
        <f>'Capital Cost'!B24+"Tgo!&amp;["</f>
        <v>#VALUE!</v>
      </c>
      <c r="BR2" t="e">
        <f>'Capital Cost'!A25+"Tgo!&amp;\"</f>
        <v>#VALUE!</v>
      </c>
      <c r="BS2" t="e">
        <f>'Capital Cost'!B25+"Tgo!&amp;]"</f>
        <v>#VALUE!</v>
      </c>
      <c r="BT2" t="e">
        <f>'Capital Cost'!A26+"Tgo!&amp;^"</f>
        <v>#VALUE!</v>
      </c>
      <c r="BU2" t="e">
        <f>'Capital Cost'!B26+"Tgo!&amp;_"</f>
        <v>#VALUE!</v>
      </c>
      <c r="BV2" t="e">
        <f>'Capital Cost'!A27+"Tgo!&amp;`"</f>
        <v>#VALUE!</v>
      </c>
      <c r="BW2" t="e">
        <f>'Capital Cost'!B27+"Tgo!&amp;a"</f>
        <v>#VALUE!</v>
      </c>
      <c r="BX2" t="e">
        <f>'Energy Savings - Kwh'!A:A*"Tgo!&amp;b"</f>
        <v>#VALUE!</v>
      </c>
      <c r="BY2" t="e">
        <f>'Energy Savings - Kwh'!B:B*"Tgo!&amp;c"</f>
        <v>#VALUE!</v>
      </c>
      <c r="BZ2" t="e">
        <f>'Energy Savings - Kwh'!C:C*"Tgo!&amp;d"</f>
        <v>#VALUE!</v>
      </c>
      <c r="CA2" t="e">
        <f>'Energy Savings - Kwh'!D:D*"Tgo!&amp;e"</f>
        <v>#VALUE!</v>
      </c>
      <c r="CB2" t="e">
        <f>'Energy Savings - Kwh'!E:E*"Tgo!&amp;f"</f>
        <v>#VALUE!</v>
      </c>
      <c r="CC2" t="e">
        <f>'Energy Savings - Kwh'!F:F*"Tgo!&amp;g"</f>
        <v>#VALUE!</v>
      </c>
      <c r="CD2" t="e">
        <f>'Energy Savings - Kwh'!G:G*"Tgo!&amp;h"</f>
        <v>#VALUE!</v>
      </c>
      <c r="CE2" t="e">
        <f>'Energy Savings - Kwh'!H:H*"Tgo!&amp;i"</f>
        <v>#VALUE!</v>
      </c>
      <c r="CF2" t="e">
        <f>'Energy Savings - Kwh'!I:I*"Tgo!&amp;j"</f>
        <v>#VALUE!</v>
      </c>
      <c r="CG2" t="e">
        <f>'Energy Savings - Kwh'!J:J*"Tgo!&amp;k"</f>
        <v>#VALUE!</v>
      </c>
      <c r="CH2" t="e">
        <f>'Energy Savings - Kwh'!K:K*"Tgo!&amp;l"</f>
        <v>#VALUE!</v>
      </c>
      <c r="CI2" t="e">
        <f>'Energy Savings - Kwh'!L:L*"Tgo!&amp;m"</f>
        <v>#VALUE!</v>
      </c>
      <c r="CJ2" t="e">
        <f>'Energy Savings - Kwh'!M:M*"Tgo!&amp;n"</f>
        <v>#VALUE!</v>
      </c>
      <c r="CK2" t="e">
        <f>'Energy Savings - Kwh'!N:N*"Tgo!&amp;o"</f>
        <v>#VALUE!</v>
      </c>
      <c r="CL2" t="e">
        <f>'Energy Savings - Kwh'!O:O*"Tgo!&amp;p"</f>
        <v>#VALUE!</v>
      </c>
      <c r="CM2" t="e">
        <f>'Energy Savings - Kwh'!P:P*"Tgo!&amp;q"</f>
        <v>#VALUE!</v>
      </c>
      <c r="CN2" t="e">
        <f>'Energy Savings - Kwh'!Q:Q*"Tgo!&amp;r"</f>
        <v>#VALUE!</v>
      </c>
      <c r="CO2" t="e">
        <f>'Energy Savings - Kwh'!R:R*"Tgo!&amp;s"</f>
        <v>#VALUE!</v>
      </c>
      <c r="CP2" t="e">
        <f>'Energy Savings - Kwh'!S:S*"Tgo!&amp;t"</f>
        <v>#VALUE!</v>
      </c>
      <c r="CQ2" t="e">
        <f>'Energy Savings - Kwh'!T:T*"Tgo!&amp;u"</f>
        <v>#VALUE!</v>
      </c>
      <c r="CR2" t="e">
        <f>'Energy Savings - Kwh'!U:U*"Tgo!&amp;v"</f>
        <v>#VALUE!</v>
      </c>
      <c r="CS2" t="e">
        <f>'Energy Savings - Kwh'!V:V*"Tgo!&amp;w"</f>
        <v>#VALUE!</v>
      </c>
      <c r="CT2" t="e">
        <f>'Energy Savings - Kwh'!W:W*"Tgo!&amp;x"</f>
        <v>#VALUE!</v>
      </c>
      <c r="CU2" t="e">
        <f>'Energy Savings - Kwh'!X:X*"Tgo!&amp;y"</f>
        <v>#VALUE!</v>
      </c>
      <c r="CV2" t="e">
        <f>'Energy Savings - Kwh'!Y:Y*"Tgo!&amp;z"</f>
        <v>#VALUE!</v>
      </c>
      <c r="CW2" t="e">
        <f>'Energy Savings - Kwh'!Z:Z*"Tgo!&amp;{"</f>
        <v>#VALUE!</v>
      </c>
      <c r="CX2" t="e">
        <f>'Energy Savings - Kwh'!AA:AA*"Tgo!&amp;|"</f>
        <v>#VALUE!</v>
      </c>
      <c r="CY2" t="e">
        <f>'Energy Savings - Kwh'!AB:AB*"Tgo!&amp;}"</f>
        <v>#VALUE!</v>
      </c>
      <c r="CZ2" t="e">
        <f>'Energy Savings - Kwh'!AC:AC*"Tgo!&amp;~"</f>
        <v>#VALUE!</v>
      </c>
      <c r="DA2" t="e">
        <f>'Energy Savings - Kwh'!AD:AD*"Tgo!'#"</f>
        <v>#VALUE!</v>
      </c>
      <c r="DB2" t="e">
        <f>'Energy Savings - Kwh'!AE:AE*"Tgo!'$"</f>
        <v>#VALUE!</v>
      </c>
      <c r="DC2" t="e">
        <f>'Energy Savings - Kwh'!AF:AF*"Tgo!'%"</f>
        <v>#VALUE!</v>
      </c>
      <c r="DD2" t="e">
        <f>'Energy Savings - Kwh'!AG:AG*"Tgo!'&amp;"</f>
        <v>#VALUE!</v>
      </c>
      <c r="DE2" t="e">
        <f>'Energy Savings - Kwh'!AH:AH*"Tgo!''"</f>
        <v>#VALUE!</v>
      </c>
      <c r="DF2" t="e">
        <f>'Energy Savings - Kwh'!AI:AI*"Tgo!'("</f>
        <v>#VALUE!</v>
      </c>
      <c r="DG2" t="e">
        <f>'Energy Savings - Kwh'!AJ:AJ*"Tgo!')"</f>
        <v>#VALUE!</v>
      </c>
      <c r="DH2" t="e">
        <f>'Energy Savings - Kwh'!AK:AK*"Tgo!'."</f>
        <v>#VALUE!</v>
      </c>
      <c r="DI2" t="e">
        <f>'Energy Savings - Kwh'!AL:AL*"Tgo!'/"</f>
        <v>#VALUE!</v>
      </c>
      <c r="DJ2" t="e">
        <f>'Energy Savings - Kwh'!AM:AM*"Tgo!'0"</f>
        <v>#VALUE!</v>
      </c>
      <c r="DK2" t="e">
        <f>'Energy Savings - Kwh'!AN:AN*"Tgo!'1"</f>
        <v>#VALUE!</v>
      </c>
      <c r="DL2" t="e">
        <f>'Energy Savings - Kwh'!AO:AO*"Tgo!'2"</f>
        <v>#VALUE!</v>
      </c>
      <c r="DM2" t="e">
        <f>'Energy Savings - Kwh'!AP:AP*"Tgo!'3"</f>
        <v>#VALUE!</v>
      </c>
      <c r="DN2" t="e">
        <f>'Energy Savings - Kwh'!AQ:AQ*"Tgo!'4"</f>
        <v>#VALUE!</v>
      </c>
      <c r="DO2" t="e">
        <f>'Energy Savings - Kwh'!AR:AR*"Tgo!'5"</f>
        <v>#VALUE!</v>
      </c>
      <c r="DP2" t="e">
        <f>'Energy Savings - Kwh'!AS:AS*"Tgo!'6"</f>
        <v>#VALUE!</v>
      </c>
      <c r="DQ2" t="e">
        <f>'Energy Savings - Kwh'!AT:AT*"Tgo!'7"</f>
        <v>#VALUE!</v>
      </c>
      <c r="DR2" t="e">
        <f>'Energy Savings - Kwh'!AU:AU*"Tgo!'8"</f>
        <v>#VALUE!</v>
      </c>
      <c r="DS2" t="e">
        <f>'Energy Savings - Kwh'!AV:AV*"Tgo!'9"</f>
        <v>#VALUE!</v>
      </c>
      <c r="DT2" t="e">
        <f>'Energy Savings - Kwh'!AW:AW*"Tgo!':"</f>
        <v>#VALUE!</v>
      </c>
      <c r="DU2" t="e">
        <f>'Energy Savings - Kwh'!AX:AX*"Tgo!';"</f>
        <v>#VALUE!</v>
      </c>
      <c r="DV2" t="e">
        <f>'Energy Savings - Kwh'!AY:AY*"Tgo!'&lt;"</f>
        <v>#VALUE!</v>
      </c>
      <c r="DW2" t="e">
        <f>'Energy Savings - Kwh'!AZ:AZ*"Tgo!'="</f>
        <v>#VALUE!</v>
      </c>
      <c r="DX2" t="e">
        <f>'Energy Savings - Kwh'!BA:BA*"Tgo!'&gt;"</f>
        <v>#VALUE!</v>
      </c>
      <c r="DY2" t="e">
        <f>'Energy Savings - Kwh'!BB:BB*"Tgo!'?"</f>
        <v>#VALUE!</v>
      </c>
      <c r="DZ2" t="e">
        <f>'Energy Savings - Kwh'!BC:BC*"Tgo!'@"</f>
        <v>#VALUE!</v>
      </c>
      <c r="EA2" t="e">
        <f>'Energy Savings - Kwh'!BD:BD*"Tgo!'A"</f>
        <v>#VALUE!</v>
      </c>
      <c r="EB2" t="e">
        <f>'Energy Savings - Kwh'!BE:BE*"Tgo!'B"</f>
        <v>#VALUE!</v>
      </c>
      <c r="EC2" t="e">
        <f>'Energy Savings - Kwh'!BF:BF*"Tgo!'C"</f>
        <v>#VALUE!</v>
      </c>
      <c r="ED2" t="e">
        <f>'Energy Savings - Kwh'!BG:BG*"Tgo!'D"</f>
        <v>#VALUE!</v>
      </c>
      <c r="EE2" t="e">
        <f>'Energy Savings - Kwh'!BH:BH*"Tgo!'E"</f>
        <v>#VALUE!</v>
      </c>
      <c r="EF2" t="e">
        <f>'Energy Savings - Kwh'!BI:BI*"Tgo!'F"</f>
        <v>#VALUE!</v>
      </c>
      <c r="EG2" t="e">
        <f>'Energy Savings - Kwh'!BJ:BJ*"Tgo!'G"</f>
        <v>#VALUE!</v>
      </c>
      <c r="EH2" t="e">
        <f>'Energy Savings - Kwh'!BK:BK*"Tgo!'H"</f>
        <v>#VALUE!</v>
      </c>
      <c r="EI2" t="e">
        <f>'Energy Savings - Kwh'!BL:BL*"Tgo!'I"</f>
        <v>#VALUE!</v>
      </c>
      <c r="EJ2" t="e">
        <f>'Energy Savings - Kwh'!BM:BM*"Tgo!'J"</f>
        <v>#VALUE!</v>
      </c>
      <c r="EK2" t="e">
        <f>'Energy Savings - Kwh'!BN:BN*"Tgo!'K"</f>
        <v>#VALUE!</v>
      </c>
      <c r="EL2" t="e">
        <f>'Energy Savings - Kwh'!1:1-"Tgo!'L"</f>
        <v>#VALUE!</v>
      </c>
      <c r="EM2" t="e">
        <f>'Energy Savings - Kwh'!2:2-"Tgo!'M"</f>
        <v>#VALUE!</v>
      </c>
      <c r="EN2" s="41" t="e">
        <f>'Energy Savings - Kwh'!3:3-"Tgo!'N"</f>
        <v>#VALUE!</v>
      </c>
      <c r="EO2" t="e">
        <f>'Energy Savings - Kwh'!4:4-"Tgo!'O"</f>
        <v>#VALUE!</v>
      </c>
      <c r="EP2" t="e">
        <f>'Energy Savings - Kwh'!5:5-"Tgo!'P"</f>
        <v>#VALUE!</v>
      </c>
      <c r="EQ2" t="e">
        <f>'Energy Savings - Kwh'!6:6-"Tgo!'Q"</f>
        <v>#VALUE!</v>
      </c>
      <c r="ER2" t="e">
        <f>'Energy Savings - Kwh'!7:7-"Tgo!'R"</f>
        <v>#VALUE!</v>
      </c>
      <c r="ES2" t="e">
        <f>'Energy Savings - Kwh'!8:8-"Tgo!'S"</f>
        <v>#VALUE!</v>
      </c>
      <c r="ET2" t="e">
        <f>'Energy Savings - Kwh'!9:9-"Tgo!'T"</f>
        <v>#VALUE!</v>
      </c>
      <c r="EU2" t="e">
        <f>'Energy Savings - Kwh'!10:10-"Tgo!'U"</f>
        <v>#VALUE!</v>
      </c>
      <c r="EV2" s="41" t="e">
        <f>'Energy Savings - Kwh'!11:11-"Tgo!'V"</f>
        <v>#VALUE!</v>
      </c>
      <c r="EW2" s="41" t="e">
        <f>'Energy Savings - Kwh'!12:12-"Tgo!'W"</f>
        <v>#VALUE!</v>
      </c>
      <c r="EX2" s="41" t="e">
        <f>'Energy Savings - Kwh'!13:13-"Tgo!'X"</f>
        <v>#VALUE!</v>
      </c>
      <c r="EY2" s="41" t="e">
        <f>'Energy Savings - Kwh'!14:14-"Tgo!'Y"</f>
        <v>#VALUE!</v>
      </c>
      <c r="EZ2" s="41" t="e">
        <f>'Energy Savings - Kwh'!15:15-"Tgo!'Z"</f>
        <v>#VALUE!</v>
      </c>
      <c r="FA2" s="41" t="e">
        <f>'Energy Savings - Kwh'!16:16-"Tgo!'["</f>
        <v>#VALUE!</v>
      </c>
      <c r="FB2" s="41" t="e">
        <f>'Energy Savings - Kwh'!17:17-"Tgo!'\"</f>
        <v>#VALUE!</v>
      </c>
      <c r="FC2" s="41" t="e">
        <f>'Energy Savings - Kwh'!18:18-"Tgo!']"</f>
        <v>#VALUE!</v>
      </c>
      <c r="FD2" s="41" t="e">
        <f>'Energy Savings - Kwh'!19:19-"Tgo!'^"</f>
        <v>#VALUE!</v>
      </c>
      <c r="FE2" s="41" t="e">
        <f>'Energy Savings - Kwh'!20:20-"Tgo!'_"</f>
        <v>#VALUE!</v>
      </c>
      <c r="FF2" s="41" t="e">
        <f>'Energy Savings - Kwh'!21:21-"Tgo!'`"</f>
        <v>#VALUE!</v>
      </c>
      <c r="FG2" s="41" t="e">
        <f>'Energy Savings - Kwh'!22:22-"Tgo!'a"</f>
        <v>#VALUE!</v>
      </c>
      <c r="FH2" s="41" t="e">
        <f>'Energy Savings - Kwh'!23:23-"Tgo!'b"</f>
        <v>#VALUE!</v>
      </c>
      <c r="FI2" t="e">
        <f>'Energy Savings - Kwh'!24:24-"Tgo!'c"</f>
        <v>#VALUE!</v>
      </c>
      <c r="FJ2" t="e">
        <f>'Energy Savings - Kwh'!25:25-"Tgo!'d"</f>
        <v>#VALUE!</v>
      </c>
      <c r="FK2" t="e">
        <f>'Energy Savings - Kwh'!26:26-"Tgo!'e"</f>
        <v>#VALUE!</v>
      </c>
      <c r="FL2" t="e">
        <f>'Energy Savings - Kwh'!27:27-"Tgo!'f"</f>
        <v>#VALUE!</v>
      </c>
      <c r="FM2" t="e">
        <f>'Energy Savings - Kwh'!28:28-"Tgo!'g"</f>
        <v>#VALUE!</v>
      </c>
      <c r="FN2" t="e">
        <f>'Energy Savings - Kwh'!29:29-"Tgo!'h"</f>
        <v>#VALUE!</v>
      </c>
      <c r="FO2" t="e">
        <f>'Energy Savings - Kwh'!30:30-"Tgo!'i"</f>
        <v>#VALUE!</v>
      </c>
      <c r="FP2" t="e">
        <f>'Energy Savings - Kwh'!31:31-"Tgo!'j"</f>
        <v>#VALUE!</v>
      </c>
      <c r="FQ2" t="e">
        <f>'Energy Savings - Kwh'!32:32-"Tgo!'k"</f>
        <v>#VALUE!</v>
      </c>
      <c r="FR2" t="e">
        <f>'Energy Savings - Kwh'!33:33-"Tgo!'l"</f>
        <v>#VALUE!</v>
      </c>
      <c r="FS2" t="e">
        <f>'Energy Savings - Kwh'!34:34-"Tgo!'m"</f>
        <v>#VALUE!</v>
      </c>
      <c r="FT2" t="e">
        <f>'Energy Savings - Kwh'!35:35-"Tgo!'n"</f>
        <v>#VALUE!</v>
      </c>
      <c r="FU2" t="e">
        <f>'Energy Savings - Kwh'!36:36-"Tgo!'o"</f>
        <v>#VALUE!</v>
      </c>
      <c r="FV2" t="e">
        <f>'Energy Savings - Kwh'!37:37-"Tgo!'p"</f>
        <v>#VALUE!</v>
      </c>
      <c r="FW2" t="e">
        <f>'Energy Savings - Kwh'!38:38-"Tgo!'q"</f>
        <v>#VALUE!</v>
      </c>
      <c r="FX2" t="e">
        <f>'Energy Savings - Kwh'!39:39-"Tgo!'r"</f>
        <v>#VALUE!</v>
      </c>
      <c r="FY2" t="e">
        <f>'Energy Savings - Kwh'!40:40-"Tgo!'s"</f>
        <v>#VALUE!</v>
      </c>
      <c r="FZ2" t="e">
        <f>'Energy Savings - Kwh'!41:41-"Tgo!'t"</f>
        <v>#VALUE!</v>
      </c>
      <c r="GA2" t="e">
        <f>'Energy Savings - Kwh'!42:42-"Tgo!'u"</f>
        <v>#VALUE!</v>
      </c>
      <c r="GB2" t="e">
        <f>'Energy Savings - Kwh'!43:43-"Tgo!'v"</f>
        <v>#VALUE!</v>
      </c>
      <c r="GC2" t="e">
        <f>'Energy Savings - Kwh'!44:44-"Tgo!'w"</f>
        <v>#VALUE!</v>
      </c>
      <c r="GD2" t="e">
        <f>'Energy Savings - Kwh'!45:45-"Tgo!'x"</f>
        <v>#VALUE!</v>
      </c>
      <c r="GE2" t="e">
        <f>'Energy Savings - Kwh'!46:46-"Tgo!'y"</f>
        <v>#VALUE!</v>
      </c>
      <c r="GF2" t="e">
        <f>'Energy Savings - Kwh'!47:47-"Tgo!'z"</f>
        <v>#VALUE!</v>
      </c>
      <c r="GG2" s="41" t="e">
        <f>'Energy Savings - Kwh'!48:48-"Tgo!'{"</f>
        <v>#VALUE!</v>
      </c>
      <c r="GH2" t="e">
        <f>'Energy Savings - Kwh'!49:49-"Tgo!'|"</f>
        <v>#VALUE!</v>
      </c>
      <c r="GI2" t="e">
        <f>'Energy Savings - Kwh'!50:50-"Tgo!'}"</f>
        <v>#VALUE!</v>
      </c>
      <c r="GJ2" t="e">
        <f>'Energy Savings - Kwh'!51:51-"Tgo!'~"</f>
        <v>#VALUE!</v>
      </c>
      <c r="GK2" t="e">
        <f>'Energy Savings - Kwh'!52:52-"Tgo!(#"</f>
        <v>#VALUE!</v>
      </c>
      <c r="GL2" t="e">
        <f>'Energy Savings - Kwh'!53:53-"Tgo!($"</f>
        <v>#VALUE!</v>
      </c>
      <c r="GM2" t="e">
        <f>'Energy Savings - Kwh'!54:54-"Tgo!(%"</f>
        <v>#VALUE!</v>
      </c>
      <c r="GN2" t="e">
        <f>'Energy Savings - Kwh'!55:55-"Tgo!(&amp;"</f>
        <v>#VALUE!</v>
      </c>
      <c r="GO2" t="e">
        <f>'Energy Savings - Kwh'!56:56-"Tgo!('"</f>
        <v>#VALUE!</v>
      </c>
      <c r="GP2" t="e">
        <f>'Energy Savings - Kwh'!57:57-"Tgo!(("</f>
        <v>#VALUE!</v>
      </c>
      <c r="GQ2" t="e">
        <f>'Energy Savings - Kwh'!58:58-"Tgo!()"</f>
        <v>#VALUE!</v>
      </c>
      <c r="GR2" t="e">
        <f>'Energy Savings - Kwh'!59:59-"Tgo!(."</f>
        <v>#VALUE!</v>
      </c>
      <c r="GS2" t="e">
        <f>'Energy Savings - Kwh'!60:60-"Tgo!(/"</f>
        <v>#VALUE!</v>
      </c>
      <c r="GT2" t="e">
        <f>'Energy Savings - Kwh'!61:61-"Tgo!(0"</f>
        <v>#VALUE!</v>
      </c>
      <c r="GU2" t="e">
        <f>'Energy Savings - Kwh'!62:62-"Tgo!(1"</f>
        <v>#VALUE!</v>
      </c>
      <c r="GV2" t="e">
        <f>'Energy Savings - Kwh'!63:63-"Tgo!(2"</f>
        <v>#VALUE!</v>
      </c>
      <c r="GW2" t="e">
        <f>'Energy Savings - Kwh'!64:64-"Tgo!(3"</f>
        <v>#VALUE!</v>
      </c>
      <c r="GX2" t="e">
        <f>'Energy Savings - Kwh'!65:65-"Tgo!(4"</f>
        <v>#VALUE!</v>
      </c>
      <c r="GY2" t="e">
        <f>'Energy Savings - Kwh'!66:66-"Tgo!(5"</f>
        <v>#VALUE!</v>
      </c>
      <c r="GZ2" t="e">
        <f>'Energy Savings - Kwh'!67:67-"Tgo!(6"</f>
        <v>#VALUE!</v>
      </c>
      <c r="HA2" t="e">
        <f>'Energy Savings - Kwh'!68:68-"Tgo!(7"</f>
        <v>#VALUE!</v>
      </c>
      <c r="HB2" t="e">
        <f>'Energy Savings - Kwh'!69:69-"Tgo!(8"</f>
        <v>#VALUE!</v>
      </c>
      <c r="HC2" t="e">
        <f>'Energy Savings - Kwh'!70:70-"Tgo!(9"</f>
        <v>#VALUE!</v>
      </c>
      <c r="HD2" t="e">
        <f>'Energy Savings - Kwh'!71:71-"Tgo!(:"</f>
        <v>#VALUE!</v>
      </c>
      <c r="HE2" t="e">
        <f>'Energy Savings - Kwh'!72:72-"Tgo!(;"</f>
        <v>#VALUE!</v>
      </c>
      <c r="HF2" t="e">
        <f>'Energy Savings - Kwh'!73:73-"Tgo!(&lt;"</f>
        <v>#VALUE!</v>
      </c>
      <c r="HG2" t="e">
        <f>'Energy Savings - Kwh'!74:74-"Tgo!(="</f>
        <v>#VALUE!</v>
      </c>
      <c r="HH2" t="e">
        <f>'Energy Savings - Kwh'!75:75-"Tgo!(&gt;"</f>
        <v>#VALUE!</v>
      </c>
      <c r="HI2" t="e">
        <f>'Energy Savings - Kwh'!76:76-"Tgo!(?"</f>
        <v>#VALUE!</v>
      </c>
      <c r="HJ2" t="e">
        <f>'Energy Savings - Kwh'!77:77-"Tgo!(@"</f>
        <v>#VALUE!</v>
      </c>
      <c r="HK2" t="e">
        <f>'Energy Savings - Kwh'!78:78-"Tgo!(A"</f>
        <v>#VALUE!</v>
      </c>
      <c r="HL2" t="e">
        <f>'Energy Savings - Kwh'!79:79-"Tgo!(B"</f>
        <v>#VALUE!</v>
      </c>
      <c r="HM2" t="e">
        <f>'Energy Savings - Kwh'!80:80-"Tgo!(C"</f>
        <v>#VALUE!</v>
      </c>
      <c r="HN2" t="e">
        <f>'Energy Savings - Kwh'!81:81-"Tgo!(D"</f>
        <v>#VALUE!</v>
      </c>
      <c r="HO2" t="e">
        <f>'Energy Savings - Kwh'!82:82-"Tgo!(E"</f>
        <v>#VALUE!</v>
      </c>
      <c r="HP2" t="e">
        <f>'Energy Savings - Kwh'!83:83-"Tgo!(F"</f>
        <v>#VALUE!</v>
      </c>
      <c r="HQ2" t="e">
        <f>'Energy Savings - Kwh'!84:84-"Tgo!(G"</f>
        <v>#VALUE!</v>
      </c>
      <c r="HR2" t="e">
        <f>'Energy Savings - Kwh'!85:85-"Tgo!(H"</f>
        <v>#VALUE!</v>
      </c>
      <c r="HS2" t="e">
        <f>'Energy Savings - Kwh'!86:86-"Tgo!(I"</f>
        <v>#VALUE!</v>
      </c>
      <c r="HT2" t="e">
        <f>'Energy Savings - Kwh'!87:87-"Tgo!(J"</f>
        <v>#VALUE!</v>
      </c>
      <c r="HU2" t="e">
        <f>'Energy Savings - Kwh'!88:88-"Tgo!(K"</f>
        <v>#VALUE!</v>
      </c>
      <c r="HV2" t="e">
        <f>'Energy Savings - Kwh'!89:89-"Tgo!(L"</f>
        <v>#VALUE!</v>
      </c>
      <c r="HW2" t="e">
        <f>'Energy Savings - Kwh'!90:90-"Tgo!(M"</f>
        <v>#VALUE!</v>
      </c>
      <c r="HX2" t="e">
        <f>'Energy Savings - Kwh'!91:91-"Tgo!(N"</f>
        <v>#VALUE!</v>
      </c>
      <c r="HY2" t="e">
        <f>'Energy Savings - Kwh'!92:92-"Tgo!(O"</f>
        <v>#VALUE!</v>
      </c>
      <c r="HZ2" t="e">
        <f>'Energy Savings - Kwh'!93:93-"Tgo!(P"</f>
        <v>#VALUE!</v>
      </c>
      <c r="IA2" t="e">
        <f>'Energy Savings - Kwh'!94:94-"Tgo!(Q"</f>
        <v>#VALUE!</v>
      </c>
      <c r="IB2" t="e">
        <f>'Energy Savings - Kwh'!95:95-"Tgo!(R"</f>
        <v>#VALUE!</v>
      </c>
      <c r="IC2" t="e">
        <f>'Energy Savings - Kwh'!96:96-"Tgo!(S"</f>
        <v>#VALUE!</v>
      </c>
      <c r="ID2" t="e">
        <f>'Energy Savings - Kwh'!97:97-"Tgo!(T"</f>
        <v>#VALUE!</v>
      </c>
      <c r="IE2" t="e">
        <f>'Energy Savings - Kwh'!98:98-"Tgo!(U"</f>
        <v>#VALUE!</v>
      </c>
      <c r="IF2" t="e">
        <f>'Energy Savings - Kwh'!99:99-"Tgo!(V"</f>
        <v>#VALUE!</v>
      </c>
      <c r="IG2" t="e">
        <f>'Energy Savings - Kwh'!100:100-"Tgo!(W"</f>
        <v>#VALUE!</v>
      </c>
      <c r="IH2" t="e">
        <f>'Energy Savings - Kwh'!101:101-"Tgo!(X"</f>
        <v>#VALUE!</v>
      </c>
      <c r="II2" t="e">
        <f>'Energy Savings - Kwh'!102:102-"Tgo!(Y"</f>
        <v>#VALUE!</v>
      </c>
      <c r="IJ2" t="e">
        <f>'Energy Savings - Kwh'!103:103-"Tgo!(Z"</f>
        <v>#VALUE!</v>
      </c>
      <c r="IK2" t="e">
        <f>'Energy Savings - Kwh'!104:104-"Tgo!(["</f>
        <v>#VALUE!</v>
      </c>
      <c r="IL2" t="e">
        <f>'Energy Savings - Kwh'!105:105-"Tgo!(\"</f>
        <v>#VALUE!</v>
      </c>
      <c r="IM2" t="e">
        <f>'Energy Savings - Kwh'!106:106-"Tgo!(]"</f>
        <v>#VALUE!</v>
      </c>
      <c r="IN2" t="e">
        <f>'Energy Savings - Kwh'!107:107-"Tgo!(^"</f>
        <v>#VALUE!</v>
      </c>
      <c r="IO2" t="e">
        <f>'Energy Savings - Kwh'!108:108-"Tgo!(_"</f>
        <v>#VALUE!</v>
      </c>
      <c r="IP2" t="e">
        <f>'Energy Savings - Kwh'!109:109-"Tgo!(`"</f>
        <v>#VALUE!</v>
      </c>
      <c r="IQ2" t="e">
        <f>'Energy Savings - Kwh'!110:110-"Tgo!(a"</f>
        <v>#VALUE!</v>
      </c>
      <c r="IR2" t="e">
        <f>'Energy Savings - Kwh'!111:111-"Tgo!(b"</f>
        <v>#VALUE!</v>
      </c>
      <c r="IS2" t="e">
        <f>'Energy Savings - Kwh'!112:112-"Tgo!(c"</f>
        <v>#VALUE!</v>
      </c>
      <c r="IT2" t="e">
        <f>'Energy Savings - Kwh'!113:113-"Tgo!(d"</f>
        <v>#VALUE!</v>
      </c>
      <c r="IU2" t="e">
        <f>'Energy Savings - Kwh'!114:114-"Tgo!(e"</f>
        <v>#VALUE!</v>
      </c>
      <c r="IV2" t="e">
        <f>'Energy Savings - Kwh'!115:115-"Tgo!(f"</f>
        <v>#VALUE!</v>
      </c>
    </row>
    <row r="3" spans="1:256" x14ac:dyDescent="0.25">
      <c r="A3" t="s">
        <v>102</v>
      </c>
      <c r="F3" t="e">
        <f>'Energy Savings - Kwh'!116:116-"Tgo!(g"</f>
        <v>#VALUE!</v>
      </c>
      <c r="G3" t="e">
        <f>'Energy Savings - Kwh'!117:117-"Tgo!(h"</f>
        <v>#VALUE!</v>
      </c>
      <c r="H3" t="e">
        <f>'Energy Savings - Kwh'!118:118-"Tgo!(i"</f>
        <v>#VALUE!</v>
      </c>
      <c r="I3" t="e">
        <f>'Energy Savings - Kwh'!119:119-"Tgo!(j"</f>
        <v>#VALUE!</v>
      </c>
      <c r="J3" t="e">
        <f>'Energy Savings - Kwh'!120:120-"Tgo!(k"</f>
        <v>#VALUE!</v>
      </c>
      <c r="K3" t="e">
        <f>'Energy Savings - Kwh'!121:121-"Tgo!(l"</f>
        <v>#VALUE!</v>
      </c>
      <c r="L3" t="e">
        <f>'Energy Savings - Kwh'!122:122-"Tgo!(m"</f>
        <v>#VALUE!</v>
      </c>
      <c r="M3" t="e">
        <f>'Energy Savings - Kwh'!123:123-"Tgo!(n"</f>
        <v>#VALUE!</v>
      </c>
      <c r="N3" t="e">
        <f>'Energy Savings - Kwh'!124:124-"Tgo!(o"</f>
        <v>#VALUE!</v>
      </c>
      <c r="O3" t="e">
        <f>'Energy Savings - Kwh'!125:125-"Tgo!(p"</f>
        <v>#VALUE!</v>
      </c>
      <c r="P3" t="e">
        <f>'Energy Savings - Kwh'!126:126-"Tgo!(q"</f>
        <v>#VALUE!</v>
      </c>
      <c r="Q3" t="e">
        <f>'Energy Savings - Kwh'!127:127-"Tgo!(r"</f>
        <v>#VALUE!</v>
      </c>
      <c r="R3" t="e">
        <f>'Energy Savings - Kwh'!128:128-"Tgo!(s"</f>
        <v>#VALUE!</v>
      </c>
      <c r="S3" t="e">
        <f>'Energy Savings - Kwh'!129:129-"Tgo!(t"</f>
        <v>#VALUE!</v>
      </c>
      <c r="T3" t="e">
        <f>'Energy Savings - Kwh'!130:130-"Tgo!(u"</f>
        <v>#VALUE!</v>
      </c>
      <c r="U3" t="e">
        <f>'Energy Savings - Kwh'!131:131-"Tgo!(v"</f>
        <v>#VALUE!</v>
      </c>
      <c r="V3" t="e">
        <f>'Energy Savings - Kwh'!132:132-"Tgo!(w"</f>
        <v>#VALUE!</v>
      </c>
      <c r="W3" t="e">
        <f>'Energy Savings - Kwh'!133:133-"Tgo!(x"</f>
        <v>#VALUE!</v>
      </c>
      <c r="X3" t="e">
        <f>'Energy Savings - Kwh'!134:134-"Tgo!(y"</f>
        <v>#VALUE!</v>
      </c>
      <c r="Y3" t="e">
        <f>'Energy Savings - Kwh'!135:135-"Tgo!(z"</f>
        <v>#VALUE!</v>
      </c>
      <c r="Z3" t="e">
        <f>'Energy Savings - Kwh'!136:136-"Tgo!({"</f>
        <v>#VALUE!</v>
      </c>
      <c r="AA3" t="e">
        <f>'Energy Savings - Kwh'!137:137-"Tgo!(|"</f>
        <v>#VALUE!</v>
      </c>
      <c r="AB3" t="e">
        <f>'Energy Savings - Kwh'!138:138-"Tgo!(}"</f>
        <v>#VALUE!</v>
      </c>
      <c r="AC3" t="e">
        <f>'Energy Savings - Kwh'!139:139-"Tgo!(~"</f>
        <v>#VALUE!</v>
      </c>
      <c r="AD3" t="e">
        <f>'Energy Savings - Kwh'!140:140-"Tgo!)#"</f>
        <v>#VALUE!</v>
      </c>
      <c r="AE3" t="e">
        <f>'Energy Savings - Kwh'!141:141-"Tgo!)$"</f>
        <v>#VALUE!</v>
      </c>
      <c r="AF3" t="e">
        <f>'Energy Savings - Kwh'!142:142-"Tgo!)%"</f>
        <v>#VALUE!</v>
      </c>
      <c r="AG3" t="e">
        <f>'Energy Savings - Kwh'!143:143-"Tgo!)&amp;"</f>
        <v>#VALUE!</v>
      </c>
      <c r="AH3" t="e">
        <f>'Energy Savings - Kwh'!144:144-"Tgo!)'"</f>
        <v>#VALUE!</v>
      </c>
      <c r="AI3" t="e">
        <f>'Energy Savings - Kwh'!145:145-"Tgo!)("</f>
        <v>#VALUE!</v>
      </c>
      <c r="AJ3" t="e">
        <f>'Energy Savings - Kwh'!146:146-"Tgo!))"</f>
        <v>#VALUE!</v>
      </c>
      <c r="AK3" t="e">
        <f>'Energy Savings - Kwh'!147:147-"Tgo!)."</f>
        <v>#VALUE!</v>
      </c>
      <c r="AL3" t="e">
        <f>'Energy Savings - Kwh'!148:148-"Tgo!)/"</f>
        <v>#VALUE!</v>
      </c>
      <c r="AM3" t="e">
        <f>'Energy Savings - Kwh'!149:149-"Tgo!)0"</f>
        <v>#VALUE!</v>
      </c>
      <c r="AN3" t="e">
        <f>'Energy Savings - Kwh'!150:150-"Tgo!)1"</f>
        <v>#VALUE!</v>
      </c>
      <c r="AO3" t="e">
        <f>'Energy Savings - Kwh'!151:151-"Tgo!)2"</f>
        <v>#VALUE!</v>
      </c>
      <c r="AP3" t="e">
        <f>'Energy Savings - Kwh'!152:152-"Tgo!)3"</f>
        <v>#VALUE!</v>
      </c>
      <c r="AQ3" t="e">
        <f>'Energy Savings - Kwh'!153:153-"Tgo!)4"</f>
        <v>#VALUE!</v>
      </c>
      <c r="AR3" t="e">
        <f>'Energy Savings - Kwh'!154:154-"Tgo!)5"</f>
        <v>#VALUE!</v>
      </c>
      <c r="AS3" t="e">
        <f>'Energy Savings - Kwh'!155:155-"Tgo!)6"</f>
        <v>#VALUE!</v>
      </c>
      <c r="AT3" t="e">
        <f>'Energy Savings - Kwh'!156:156-"Tgo!)7"</f>
        <v>#VALUE!</v>
      </c>
      <c r="AU3" t="e">
        <f>'Energy Savings - Kwh'!157:157-"Tgo!)8"</f>
        <v>#VALUE!</v>
      </c>
      <c r="AV3" t="e">
        <f>'Energy Savings - Kwh'!158:158-"Tgo!)9"</f>
        <v>#VALUE!</v>
      </c>
      <c r="AW3" t="e">
        <f>'Energy Savings - Kwh'!159:159-"Tgo!):"</f>
        <v>#VALUE!</v>
      </c>
      <c r="AX3" t="e">
        <f>'Energy Savings - Kwh'!160:160-"Tgo!);"</f>
        <v>#VALUE!</v>
      </c>
      <c r="AY3" t="e">
        <f>'Energy Savings - Kwh'!161:161-"Tgo!)&lt;"</f>
        <v>#VALUE!</v>
      </c>
      <c r="AZ3" t="e">
        <f>'Energy Savings - Kwh'!162:162-"Tgo!)="</f>
        <v>#VALUE!</v>
      </c>
      <c r="BA3" t="e">
        <f>'Energy Savings - Kwh'!163:163-"Tgo!)&gt;"</f>
        <v>#VALUE!</v>
      </c>
      <c r="BB3" t="e">
        <f>'Energy Savings - Kwh'!164:164-"Tgo!)?"</f>
        <v>#VALUE!</v>
      </c>
      <c r="BC3" t="e">
        <f>'Energy Savings - Kwh'!165:165-"Tgo!)@"</f>
        <v>#VALUE!</v>
      </c>
      <c r="BD3" t="e">
        <f>'Energy Savings - Kwh'!166:166-"Tgo!)A"</f>
        <v>#VALUE!</v>
      </c>
      <c r="BE3" t="e">
        <f>'Energy Savings - Kwh'!167:167-"Tgo!)B"</f>
        <v>#VALUE!</v>
      </c>
      <c r="BF3" t="e">
        <f>'Energy Savings - Kwh'!168:168-"Tgo!)C"</f>
        <v>#VALUE!</v>
      </c>
      <c r="BG3" t="e">
        <f>'Energy Savings - Kwh'!169:169-"Tgo!)D"</f>
        <v>#VALUE!</v>
      </c>
      <c r="BH3" t="e">
        <f>'Energy Savings - Kwh'!170:170-"Tgo!)E"</f>
        <v>#VALUE!</v>
      </c>
      <c r="BI3" t="e">
        <f>'Energy Savings - Kwh'!171:171-"Tgo!)F"</f>
        <v>#VALUE!</v>
      </c>
      <c r="BJ3" t="e">
        <f>'Energy Savings - Kwh'!172:172-"Tgo!)G"</f>
        <v>#VALUE!</v>
      </c>
      <c r="BK3" t="e">
        <f>'Energy Savings - Kwh'!173:173-"Tgo!)H"</f>
        <v>#VALUE!</v>
      </c>
      <c r="BL3" t="e">
        <f>'Energy Savings - Kwh'!174:174-"Tgo!)I"</f>
        <v>#VALUE!</v>
      </c>
      <c r="BM3" t="e">
        <f>'Energy Savings - Kwh'!175:175-"Tgo!)J"</f>
        <v>#VALUE!</v>
      </c>
      <c r="BN3" t="e">
        <f>'Energy Savings - Kwh'!176:176-"Tgo!)K"</f>
        <v>#VALUE!</v>
      </c>
      <c r="BO3" t="e">
        <f>'Energy Savings - Kwh'!177:177-"Tgo!)L"</f>
        <v>#VALUE!</v>
      </c>
      <c r="BP3" t="e">
        <f>'Energy Savings - Kwh'!178:178-"Tgo!)M"</f>
        <v>#VALUE!</v>
      </c>
      <c r="BQ3" t="e">
        <f>'Energy Savings - Kwh'!179:179-"Tgo!)N"</f>
        <v>#VALUE!</v>
      </c>
      <c r="BR3" t="e">
        <f>'Energy Savings - Kwh'!180:180-"Tgo!)O"</f>
        <v>#VALUE!</v>
      </c>
      <c r="BS3" t="e">
        <f>'Energy Savings - Kwh'!181:181-"Tgo!)P"</f>
        <v>#VALUE!</v>
      </c>
      <c r="BT3" t="e">
        <f>'Energy Savings - Kwh'!182:182-"Tgo!)Q"</f>
        <v>#VALUE!</v>
      </c>
      <c r="BU3" t="e">
        <f>'Energy Savings - Kwh'!183:183-"Tgo!)R"</f>
        <v>#VALUE!</v>
      </c>
      <c r="BV3" t="e">
        <f>'Energy Savings - Kwh'!184:184-"Tgo!)S"</f>
        <v>#VALUE!</v>
      </c>
      <c r="BW3" t="e">
        <f>'Energy Savings - Kwh'!185:185-"Tgo!)T"</f>
        <v>#VALUE!</v>
      </c>
      <c r="BX3" t="e">
        <f>'Energy Savings - Kwh'!186:186-"Tgo!)U"</f>
        <v>#VALUE!</v>
      </c>
      <c r="BY3" t="e">
        <f>'Energy Savings - Kwh'!187:187-"Tgo!)V"</f>
        <v>#VALUE!</v>
      </c>
      <c r="BZ3" t="e">
        <f>'Energy Savings - Kwh'!188:188-"Tgo!)W"</f>
        <v>#VALUE!</v>
      </c>
      <c r="CA3" t="e">
        <f>'Energy Savings - Kwh'!189:189-"Tgo!)X"</f>
        <v>#VALUE!</v>
      </c>
      <c r="CB3" t="e">
        <f>'Energy Savings - Kwh'!190:190-"Tgo!)Y"</f>
        <v>#VALUE!</v>
      </c>
      <c r="CC3" t="e">
        <f>'Energy Savings - Kwh'!191:191-"Tgo!)Z"</f>
        <v>#VALUE!</v>
      </c>
      <c r="CD3" t="e">
        <f>'Energy Savings - Kwh'!192:192-"Tgo!)["</f>
        <v>#VALUE!</v>
      </c>
      <c r="CE3" t="e">
        <f>'Energy Savings - Kwh'!193:193-"Tgo!)\"</f>
        <v>#VALUE!</v>
      </c>
      <c r="CF3" t="e">
        <f>'Energy Savings - Kwh'!194:194-"Tgo!)]"</f>
        <v>#VALUE!</v>
      </c>
      <c r="CG3" t="e">
        <f>'Energy Savings - Kwh'!195:195-"Tgo!)^"</f>
        <v>#VALUE!</v>
      </c>
      <c r="CH3" t="e">
        <f>'Energy Savings - Kwh'!196:196-"Tgo!)_"</f>
        <v>#VALUE!</v>
      </c>
      <c r="CI3" t="e">
        <f>'Energy Savings - Kwh'!197:197-"Tgo!)`"</f>
        <v>#VALUE!</v>
      </c>
      <c r="CJ3" t="e">
        <f>'Energy Savings - Kwh'!198:198-"Tgo!)a"</f>
        <v>#VALUE!</v>
      </c>
      <c r="CK3" t="e">
        <f>'Energy Savings - Kwh'!199:199-"Tgo!)b"</f>
        <v>#VALUE!</v>
      </c>
      <c r="CL3" t="e">
        <f>'Energy Savings - Kwh'!200:200-"Tgo!)c"</f>
        <v>#VALUE!</v>
      </c>
      <c r="CM3" t="e">
        <f>'Energy Savings - Kwh'!201:201-"Tgo!)d"</f>
        <v>#VALUE!</v>
      </c>
      <c r="CN3" t="e">
        <f>'Energy Savings - Kwh'!202:202-"Tgo!)e"</f>
        <v>#VALUE!</v>
      </c>
      <c r="CO3" t="e">
        <f>'Energy Savings - Kwh'!203:203-"Tgo!)f"</f>
        <v>#VALUE!</v>
      </c>
      <c r="CP3" t="e">
        <f>'Energy Savings - Kwh'!204:204-"Tgo!)g"</f>
        <v>#VALUE!</v>
      </c>
      <c r="CQ3" t="e">
        <f>'Energy Savings - Kwh'!205:205-"Tgo!)h"</f>
        <v>#VALUE!</v>
      </c>
      <c r="CR3" t="e">
        <f>'Energy Savings - Kwh'!206:206-"Tgo!)i"</f>
        <v>#VALUE!</v>
      </c>
      <c r="CS3" t="e">
        <f>'Energy Savings - Kwh'!207:207-"Tgo!)j"</f>
        <v>#VALUE!</v>
      </c>
      <c r="CT3" t="e">
        <f>'Energy Savings - Kwh'!208:208-"Tgo!)k"</f>
        <v>#VALUE!</v>
      </c>
      <c r="CU3" t="e">
        <f>'Energy Savings - Kwh'!209:209-"Tgo!)l"</f>
        <v>#VALUE!</v>
      </c>
      <c r="CV3" t="e">
        <f>'Energy Savings - Kwh'!210:210-"Tgo!)m"</f>
        <v>#VALUE!</v>
      </c>
      <c r="CW3" t="e">
        <f>'Energy Savings - Kwh'!211:211-"Tgo!)n"</f>
        <v>#VALUE!</v>
      </c>
      <c r="CX3" t="e">
        <f>'Energy Savings - Kwh'!212:212-"Tgo!)o"</f>
        <v>#VALUE!</v>
      </c>
      <c r="CY3" t="e">
        <f>'Energy Savings - Kwh'!213:213-"Tgo!)p"</f>
        <v>#VALUE!</v>
      </c>
      <c r="CZ3" t="e">
        <f>'Energy Savings - Kwh'!214:214-"Tgo!)q"</f>
        <v>#VALUE!</v>
      </c>
      <c r="DA3" t="e">
        <f>'Energy Savings - Kwh'!215:215-"Tgo!)r"</f>
        <v>#VALUE!</v>
      </c>
      <c r="DB3" t="e">
        <f>'Energy Savings - Kwh'!216:216-"Tgo!)s"</f>
        <v>#VALUE!</v>
      </c>
      <c r="DC3" t="e">
        <f>'Energy Savings - Kwh'!217:217-"Tgo!)t"</f>
        <v>#VALUE!</v>
      </c>
      <c r="DD3" t="e">
        <f>'Energy Savings - Kwh'!218:218-"Tgo!)u"</f>
        <v>#VALUE!</v>
      </c>
      <c r="DE3" t="e">
        <f>'Energy Savings - Kwh'!219:219-"Tgo!)v"</f>
        <v>#VALUE!</v>
      </c>
      <c r="DF3" t="e">
        <f>'Energy Savings - Kwh'!220:220-"Tgo!)w"</f>
        <v>#VALUE!</v>
      </c>
      <c r="DG3" t="e">
        <f>'Energy Savings - Kwh'!221:221-"Tgo!)x"</f>
        <v>#VALUE!</v>
      </c>
      <c r="DH3" t="e">
        <f>'Energy Savings - Kwh'!222:222-"Tgo!)y"</f>
        <v>#VALUE!</v>
      </c>
      <c r="DI3" t="e">
        <f>'Energy Savings - Kwh'!223:223-"Tgo!)z"</f>
        <v>#VALUE!</v>
      </c>
      <c r="DJ3" t="e">
        <f>'Energy Savings - Kwh'!224:224-"Tgo!){"</f>
        <v>#VALUE!</v>
      </c>
      <c r="DK3" t="e">
        <f>'Energy Savings - Kwh'!225:225-"Tgo!)|"</f>
        <v>#VALUE!</v>
      </c>
      <c r="DL3" t="e">
        <f>'Energy Savings - Kwh'!226:226-"Tgo!)}"</f>
        <v>#VALUE!</v>
      </c>
      <c r="DM3" t="e">
        <f>'Energy Savings - Kwh'!227:227-"Tgo!)~"</f>
        <v>#VALUE!</v>
      </c>
      <c r="DN3" t="e">
        <f>'Energy Savings - Kwh'!228:228-"Tgo!.#"</f>
        <v>#VALUE!</v>
      </c>
      <c r="DO3" t="e">
        <f>'Energy Savings - Kwh'!229:229-"Tgo!.$"</f>
        <v>#VALUE!</v>
      </c>
      <c r="DP3" t="e">
        <f>'Energy Savings - Kwh'!230:230-"Tgo!.%"</f>
        <v>#VALUE!</v>
      </c>
      <c r="DQ3" t="e">
        <f>'Energy Savings - Kwh'!231:231-"Tgo!.&amp;"</f>
        <v>#VALUE!</v>
      </c>
      <c r="DR3" t="e">
        <f>'Energy Savings - Kwh'!232:232-"Tgo!.'"</f>
        <v>#VALUE!</v>
      </c>
      <c r="DS3" t="e">
        <f>'Energy Savings - Kwh'!233:233-"Tgo!.("</f>
        <v>#VALUE!</v>
      </c>
      <c r="DT3" t="e">
        <f>'Energy Savings - Kwh'!234:234-"Tgo!.)"</f>
        <v>#VALUE!</v>
      </c>
      <c r="DU3" t="e">
        <f>'Energy Savings - Kwh'!235:235-"Tgo!.."</f>
        <v>#VALUE!</v>
      </c>
      <c r="DV3" t="e">
        <f>'Energy Savings - Kwh'!236:236-"Tgo!./"</f>
        <v>#VALUE!</v>
      </c>
      <c r="DW3" t="e">
        <f>'Energy Savings - Kwh'!237:237-"Tgo!.0"</f>
        <v>#VALUE!</v>
      </c>
      <c r="DX3" t="e">
        <f>'Energy Savings - Kwh'!238:238-"Tgo!.1"</f>
        <v>#VALUE!</v>
      </c>
      <c r="DY3" t="e">
        <f>'Energy Savings - Kwh'!239:239-"Tgo!.2"</f>
        <v>#VALUE!</v>
      </c>
      <c r="DZ3" t="e">
        <f>'Energy Savings - Kwh'!240:240-"Tgo!.3"</f>
        <v>#VALUE!</v>
      </c>
      <c r="EA3" t="e">
        <f>'Energy Savings - Kwh'!241:241-"Tgo!.4"</f>
        <v>#VALUE!</v>
      </c>
      <c r="EB3" t="e">
        <f>'Energy Savings - Kwh'!242:242-"Tgo!.5"</f>
        <v>#VALUE!</v>
      </c>
      <c r="EC3" t="e">
        <f>'Energy Savings - Kwh'!243:243-"Tgo!.6"</f>
        <v>#VALUE!</v>
      </c>
      <c r="ED3" t="e">
        <f>'Energy Savings - Kwh'!244:244-"Tgo!.7"</f>
        <v>#VALUE!</v>
      </c>
      <c r="EE3" t="e">
        <f>'Energy Savings - Kwh'!245:245-"Tgo!.8"</f>
        <v>#VALUE!</v>
      </c>
      <c r="EF3" t="e">
        <f>'Energy Savings - Kwh'!246:246-"Tgo!.9"</f>
        <v>#VALUE!</v>
      </c>
      <c r="EG3" t="e">
        <f>'Energy Savings - Kwh'!247:247-"Tgo!.:"</f>
        <v>#VALUE!</v>
      </c>
      <c r="EH3" t="e">
        <f>'Energy Savings - Kwh'!248:248-"Tgo!.;"</f>
        <v>#VALUE!</v>
      </c>
      <c r="EI3" t="e">
        <f>'Energy Savings - Kwh'!A1+"Tgo!.&lt;"</f>
        <v>#VALUE!</v>
      </c>
      <c r="EJ3" s="41" t="e">
        <f>'Energy Savings - Kwh'!A3+"Tgo!.="</f>
        <v>#VALUE!</v>
      </c>
      <c r="EK3" s="41" t="e">
        <f>'Energy Savings - Kwh'!J3+"Tgo!.&gt;"</f>
        <v>#VALUE!</v>
      </c>
      <c r="EL3" t="e">
        <f>'Energy Savings - Kwh'!A5+"Tgo!.?"</f>
        <v>#VALUE!</v>
      </c>
      <c r="EM3" t="e">
        <f>'Energy Savings - Kwh'!B5+"Tgo!.@"</f>
        <v>#VALUE!</v>
      </c>
      <c r="EN3" t="e">
        <f>'Energy Savings - Kwh'!C5+"Tgo!.A"</f>
        <v>#VALUE!</v>
      </c>
      <c r="EO3" t="e">
        <f>'Energy Savings - Kwh'!D5+"Tgo!.B"</f>
        <v>#VALUE!</v>
      </c>
      <c r="EP3" t="e">
        <f>'Energy Savings - Kwh'!E5+"Tgo!.C"</f>
        <v>#VALUE!</v>
      </c>
      <c r="EQ3" t="e">
        <f>'Energy Savings - Kwh'!J5+"Tgo!.D"</f>
        <v>#VALUE!</v>
      </c>
      <c r="ER3" t="e">
        <f>'Energy Savings - Kwh'!K5+"Tgo!.E"</f>
        <v>#VALUE!</v>
      </c>
      <c r="ES3" t="e">
        <f>'Energy Savings - Kwh'!L5+"Tgo!.F"</f>
        <v>#VALUE!</v>
      </c>
      <c r="ET3" t="e">
        <f>'Energy Savings - Kwh'!M5+"Tgo!.G"</f>
        <v>#VALUE!</v>
      </c>
      <c r="EU3" t="e">
        <f>'Energy Savings - Kwh'!N5+"Tgo!.H"</f>
        <v>#VALUE!</v>
      </c>
      <c r="EV3" t="e">
        <f>'Energy Savings - Kwh'!A6+"Tgo!.I"</f>
        <v>#VALUE!</v>
      </c>
      <c r="EW3" t="e">
        <f>'Energy Savings - Kwh'!B6+"Tgo!.J"</f>
        <v>#VALUE!</v>
      </c>
      <c r="EX3" t="e">
        <f>'Energy Savings - Kwh'!C6+"Tgo!.K"</f>
        <v>#VALUE!</v>
      </c>
      <c r="EY3" t="e">
        <f>'Energy Savings - Kwh'!D6+"Tgo!.L"</f>
        <v>#VALUE!</v>
      </c>
      <c r="EZ3" t="e">
        <f>'Energy Savings - Kwh'!E6+"Tgo!.M"</f>
        <v>#VALUE!</v>
      </c>
      <c r="FA3" t="e">
        <f>'Energy Savings - Kwh'!J6+"Tgo!.N"</f>
        <v>#VALUE!</v>
      </c>
      <c r="FB3" t="e">
        <f>'Energy Savings - Kwh'!K6+"Tgo!.O"</f>
        <v>#VALUE!</v>
      </c>
      <c r="FC3" t="e">
        <f>'Energy Savings - Kwh'!L6+"Tgo!.P"</f>
        <v>#VALUE!</v>
      </c>
      <c r="FD3" t="e">
        <f>'Energy Savings - Kwh'!M6+"Tgo!.Q"</f>
        <v>#VALUE!</v>
      </c>
      <c r="FE3" t="e">
        <f>'Energy Savings - Kwh'!N6+"Tgo!.R"</f>
        <v>#VALUE!</v>
      </c>
      <c r="FF3" t="e">
        <f>'Energy Savings - Kwh'!A7+"Tgo!.S"</f>
        <v>#VALUE!</v>
      </c>
      <c r="FG3" t="e">
        <f>'Energy Savings - Kwh'!B7+"Tgo!.T"</f>
        <v>#VALUE!</v>
      </c>
      <c r="FH3" t="e">
        <f>'Energy Savings - Kwh'!C7+"Tgo!.U"</f>
        <v>#VALUE!</v>
      </c>
      <c r="FI3" t="e">
        <f>'Energy Savings - Kwh'!D7+"Tgo!.V"</f>
        <v>#VALUE!</v>
      </c>
      <c r="FJ3" t="e">
        <f>'Energy Savings - Kwh'!E7+"Tgo!.W"</f>
        <v>#VALUE!</v>
      </c>
      <c r="FK3" t="e">
        <f>'Energy Savings - Kwh'!J7+"Tgo!.X"</f>
        <v>#VALUE!</v>
      </c>
      <c r="FL3" t="e">
        <f>'Energy Savings - Kwh'!K7+"Tgo!.Y"</f>
        <v>#VALUE!</v>
      </c>
      <c r="FM3" t="e">
        <f>'Energy Savings - Kwh'!L7+"Tgo!.Z"</f>
        <v>#VALUE!</v>
      </c>
      <c r="FN3" t="e">
        <f>'Energy Savings - Kwh'!M7+"Tgo!.["</f>
        <v>#VALUE!</v>
      </c>
      <c r="FO3" t="e">
        <f>'Energy Savings - Kwh'!N7+"Tgo!.\"</f>
        <v>#VALUE!</v>
      </c>
      <c r="FP3" t="e">
        <f>'Energy Savings - Kwh'!A8+"Tgo!.]"</f>
        <v>#VALUE!</v>
      </c>
      <c r="FQ3" t="e">
        <f>'Energy Savings - Kwh'!B8+"Tgo!.^"</f>
        <v>#VALUE!</v>
      </c>
      <c r="FR3" t="e">
        <f>'Energy Savings - Kwh'!C8+"Tgo!._"</f>
        <v>#VALUE!</v>
      </c>
      <c r="FS3" t="e">
        <f>'Energy Savings - Kwh'!D8+"Tgo!.`"</f>
        <v>#VALUE!</v>
      </c>
      <c r="FT3" t="e">
        <f>'Energy Savings - Kwh'!E8+"Tgo!.a"</f>
        <v>#VALUE!</v>
      </c>
      <c r="FU3" t="e">
        <f>'Energy Savings - Kwh'!J8+"Tgo!.b"</f>
        <v>#VALUE!</v>
      </c>
      <c r="FV3" t="e">
        <f>'Energy Savings - Kwh'!K8+"Tgo!.c"</f>
        <v>#VALUE!</v>
      </c>
      <c r="FW3" t="e">
        <f>'Energy Savings - Kwh'!L8+"Tgo!.d"</f>
        <v>#VALUE!</v>
      </c>
      <c r="FX3" t="e">
        <f>'Energy Savings - Kwh'!M8+"Tgo!.e"</f>
        <v>#VALUE!</v>
      </c>
      <c r="FY3" t="e">
        <f>'Energy Savings - Kwh'!N8+"Tgo!.f"</f>
        <v>#VALUE!</v>
      </c>
      <c r="FZ3" t="e">
        <f>'Energy Savings - Kwh'!A9+"Tgo!.g"</f>
        <v>#VALUE!</v>
      </c>
      <c r="GA3" t="e">
        <f>'Energy Savings - Kwh'!B9+"Tgo!.h"</f>
        <v>#VALUE!</v>
      </c>
      <c r="GB3" t="e">
        <f>'Energy Savings - Kwh'!C9+"Tgo!.i"</f>
        <v>#VALUE!</v>
      </c>
      <c r="GC3" t="e">
        <f>'Energy Savings - Kwh'!D9+"Tgo!.j"</f>
        <v>#VALUE!</v>
      </c>
      <c r="GD3" t="e">
        <f>'Energy Savings - Kwh'!E9+"Tgo!.k"</f>
        <v>#VALUE!</v>
      </c>
      <c r="GE3" t="e">
        <f>'Energy Savings - Kwh'!F9+"Tgo!.l"</f>
        <v>#VALUE!</v>
      </c>
      <c r="GF3" t="e">
        <f>'Energy Savings - Kwh'!J9+"Tgo!.m"</f>
        <v>#VALUE!</v>
      </c>
      <c r="GG3" t="e">
        <f>'Energy Savings - Kwh'!K9+"Tgo!.n"</f>
        <v>#VALUE!</v>
      </c>
      <c r="GH3" t="e">
        <f>'Energy Savings - Kwh'!L9+"Tgo!.o"</f>
        <v>#VALUE!</v>
      </c>
      <c r="GI3" t="e">
        <f>'Energy Savings - Kwh'!M9+"Tgo!.p"</f>
        <v>#VALUE!</v>
      </c>
      <c r="GJ3" t="e">
        <f>'Energy Savings - Kwh'!N9+"Tgo!.q"</f>
        <v>#VALUE!</v>
      </c>
      <c r="GK3" t="e">
        <f>'Energy Savings - Kwh'!O9+"Tgo!.r"</f>
        <v>#VALUE!</v>
      </c>
      <c r="GL3" t="e">
        <f>'Energy Savings - Kwh'!D10+"Tgo!.s"</f>
        <v>#VALUE!</v>
      </c>
      <c r="GM3" s="27" t="e">
        <f>'Energy Savings - Kwh'!E10+"Tgo!.t"</f>
        <v>#VALUE!</v>
      </c>
      <c r="GN3" t="e">
        <f>'Energy Savings - Kwh'!M10+"Tgo!.u"</f>
        <v>#VALUE!</v>
      </c>
      <c r="GO3" s="27" t="e">
        <f>'Energy Savings - Kwh'!N10+"Tgo!.v"</f>
        <v>#VALUE!</v>
      </c>
      <c r="GP3" s="41" t="e">
        <f>'Energy Savings - Kwh'!A12+"Tgo!.w"</f>
        <v>#VALUE!</v>
      </c>
      <c r="GQ3" s="41" t="e">
        <f>'Energy Savings - Kwh'!B12+"Tgo!.x"</f>
        <v>#VALUE!</v>
      </c>
      <c r="GR3" t="e">
        <f>'Energy Savings - Kwh'!C12+"Tgo!.y"</f>
        <v>#VALUE!</v>
      </c>
      <c r="GS3" t="e">
        <f>'Energy Savings - Kwh'!D12+"Tgo!.z"</f>
        <v>#VALUE!</v>
      </c>
      <c r="GT3" t="e">
        <f>'Energy Savings - Kwh'!E12+"Tgo!.{"</f>
        <v>#VALUE!</v>
      </c>
      <c r="GU3" s="41" t="e">
        <f>'Energy Savings - Kwh'!J12+"Tgo!.|"</f>
        <v>#VALUE!</v>
      </c>
      <c r="GV3" s="41" t="e">
        <f>'Energy Savings - Kwh'!K12+"Tgo!.}"</f>
        <v>#VALUE!</v>
      </c>
      <c r="GW3" t="e">
        <f>'Energy Savings - Kwh'!L12+"Tgo!.~"</f>
        <v>#VALUE!</v>
      </c>
      <c r="GX3" t="e">
        <f>'Energy Savings - Kwh'!M12+"Tgo!/#"</f>
        <v>#VALUE!</v>
      </c>
      <c r="GY3" t="e">
        <f>'Energy Savings - Kwh'!N12+"Tgo!/$"</f>
        <v>#VALUE!</v>
      </c>
      <c r="GZ3" t="e">
        <f>'Energy Savings - Kwh'!P12+"Tgo!/%"</f>
        <v>#VALUE!</v>
      </c>
      <c r="HA3" s="41" t="e">
        <f>'Energy Savings - Kwh'!A13+"Tgo!/&amp;"</f>
        <v>#VALUE!</v>
      </c>
      <c r="HB3" s="41" t="e">
        <f>'Energy Savings - Kwh'!B13+"Tgo!/'"</f>
        <v>#VALUE!</v>
      </c>
      <c r="HC3" t="e">
        <f>'Energy Savings - Kwh'!C13+"Tgo!/("</f>
        <v>#VALUE!</v>
      </c>
      <c r="HD3" t="e">
        <f>'Energy Savings - Kwh'!D13+"Tgo!/)"</f>
        <v>#VALUE!</v>
      </c>
      <c r="HE3" t="e">
        <f>'Energy Savings - Kwh'!E13+"Tgo!/."</f>
        <v>#VALUE!</v>
      </c>
      <c r="HF3" s="41" t="e">
        <f>'Energy Savings - Kwh'!J13+"Tgo!//"</f>
        <v>#VALUE!</v>
      </c>
      <c r="HG3" s="41" t="e">
        <f>'Energy Savings - Kwh'!K13+"Tgo!/0"</f>
        <v>#VALUE!</v>
      </c>
      <c r="HH3" t="e">
        <f>'Energy Savings - Kwh'!L13+"Tgo!/1"</f>
        <v>#VALUE!</v>
      </c>
      <c r="HI3" t="e">
        <f>'Energy Savings - Kwh'!M13+"Tgo!/2"</f>
        <v>#VALUE!</v>
      </c>
      <c r="HJ3" t="e">
        <f>'Energy Savings - Kwh'!N13+"Tgo!/3"</f>
        <v>#VALUE!</v>
      </c>
      <c r="HK3" s="41" t="e">
        <f>'Energy Savings - Kwh'!A14+"Tgo!/4"</f>
        <v>#VALUE!</v>
      </c>
      <c r="HL3" s="41" t="e">
        <f>'Energy Savings - Kwh'!B14+"Tgo!/5"</f>
        <v>#VALUE!</v>
      </c>
      <c r="HM3" t="e">
        <f>'Energy Savings - Kwh'!C14+"Tgo!/6"</f>
        <v>#VALUE!</v>
      </c>
      <c r="HN3" t="e">
        <f>'Energy Savings - Kwh'!D14+"Tgo!/7"</f>
        <v>#VALUE!</v>
      </c>
      <c r="HO3" t="e">
        <f>'Energy Savings - Kwh'!E14+"Tgo!/8"</f>
        <v>#VALUE!</v>
      </c>
      <c r="HP3" s="41" t="e">
        <f>'Energy Savings - Kwh'!J14+"Tgo!/9"</f>
        <v>#VALUE!</v>
      </c>
      <c r="HQ3" s="41" t="e">
        <f>'Energy Savings - Kwh'!K14+"Tgo!/:"</f>
        <v>#VALUE!</v>
      </c>
      <c r="HR3" t="e">
        <f>'Energy Savings - Kwh'!L14+"Tgo!/;"</f>
        <v>#VALUE!</v>
      </c>
      <c r="HS3" t="e">
        <f>'Energy Savings - Kwh'!M14+"Tgo!/&lt;"</f>
        <v>#VALUE!</v>
      </c>
      <c r="HT3" t="e">
        <f>'Energy Savings - Kwh'!N14+"Tgo!/="</f>
        <v>#VALUE!</v>
      </c>
      <c r="HU3" s="41" t="e">
        <f>'Energy Savings - Kwh'!A15+"Tgo!/&gt;"</f>
        <v>#VALUE!</v>
      </c>
      <c r="HV3" s="41" t="e">
        <f>'Energy Savings - Kwh'!B15+"Tgo!/?"</f>
        <v>#VALUE!</v>
      </c>
      <c r="HW3" t="e">
        <f>'Energy Savings - Kwh'!C15+"Tgo!/@"</f>
        <v>#VALUE!</v>
      </c>
      <c r="HX3" t="e">
        <f>'Energy Savings - Kwh'!D15+"Tgo!/A"</f>
        <v>#VALUE!</v>
      </c>
      <c r="HY3" t="e">
        <f>'Energy Savings - Kwh'!E15+"Tgo!/B"</f>
        <v>#VALUE!</v>
      </c>
      <c r="HZ3" s="41" t="e">
        <f>'Energy Savings - Kwh'!J15+"Tgo!/C"</f>
        <v>#VALUE!</v>
      </c>
      <c r="IA3" s="41" t="e">
        <f>'Energy Savings - Kwh'!K15+"Tgo!/D"</f>
        <v>#VALUE!</v>
      </c>
      <c r="IB3" t="e">
        <f>'Energy Savings - Kwh'!L15+"Tgo!/E"</f>
        <v>#VALUE!</v>
      </c>
      <c r="IC3" t="e">
        <f>'Energy Savings - Kwh'!M15+"Tgo!/F"</f>
        <v>#VALUE!</v>
      </c>
      <c r="ID3" t="e">
        <f>'Energy Savings - Kwh'!N15+"Tgo!/G"</f>
        <v>#VALUE!</v>
      </c>
      <c r="IE3" s="41" t="e">
        <f>'Energy Savings - Kwh'!A16+"Tgo!/H"</f>
        <v>#VALUE!</v>
      </c>
      <c r="IF3" s="41" t="e">
        <f>'Energy Savings - Kwh'!B16+"Tgo!/I"</f>
        <v>#VALUE!</v>
      </c>
      <c r="IG3" t="e">
        <f>'Energy Savings - Kwh'!C16+"Tgo!/J"</f>
        <v>#VALUE!</v>
      </c>
      <c r="IH3" t="e">
        <f>'Energy Savings - Kwh'!D16+"Tgo!/K"</f>
        <v>#VALUE!</v>
      </c>
      <c r="II3" t="e">
        <f>'Energy Savings - Kwh'!E16+"Tgo!/L"</f>
        <v>#VALUE!</v>
      </c>
      <c r="IJ3" s="41" t="e">
        <f>'Energy Savings - Kwh'!J16+"Tgo!/M"</f>
        <v>#VALUE!</v>
      </c>
      <c r="IK3" s="41" t="e">
        <f>'Energy Savings - Kwh'!K16+"Tgo!/N"</f>
        <v>#VALUE!</v>
      </c>
      <c r="IL3" t="e">
        <f>'Energy Savings - Kwh'!L16+"Tgo!/O"</f>
        <v>#VALUE!</v>
      </c>
      <c r="IM3" t="e">
        <f>'Energy Savings - Kwh'!M16+"Tgo!/P"</f>
        <v>#VALUE!</v>
      </c>
      <c r="IN3" t="e">
        <f>'Energy Savings - Kwh'!N16+"Tgo!/Q"</f>
        <v>#VALUE!</v>
      </c>
      <c r="IO3" s="41" t="e">
        <f>'Energy Savings - Kwh'!A17+"Tgo!/R"</f>
        <v>#VALUE!</v>
      </c>
      <c r="IP3" s="41" t="e">
        <f>'Energy Savings - Kwh'!B17+"Tgo!/S"</f>
        <v>#VALUE!</v>
      </c>
      <c r="IQ3" t="e">
        <f>'Energy Savings - Kwh'!C17+"Tgo!/T"</f>
        <v>#VALUE!</v>
      </c>
      <c r="IR3" t="e">
        <f>'Energy Savings - Kwh'!D17+"Tgo!/U"</f>
        <v>#VALUE!</v>
      </c>
      <c r="IS3" t="e">
        <f>'Energy Savings - Kwh'!E17+"Tgo!/V"</f>
        <v>#VALUE!</v>
      </c>
      <c r="IT3" s="41" t="e">
        <f>'Energy Savings - Kwh'!J17+"Tgo!/W"</f>
        <v>#VALUE!</v>
      </c>
      <c r="IU3" s="41" t="e">
        <f>'Energy Savings - Kwh'!K17+"Tgo!/X"</f>
        <v>#VALUE!</v>
      </c>
      <c r="IV3" t="e">
        <f>'Energy Savings - Kwh'!L17+"Tgo!/Y"</f>
        <v>#VALUE!</v>
      </c>
    </row>
    <row r="4" spans="1:256" x14ac:dyDescent="0.25">
      <c r="F4" t="e">
        <f>'Energy Savings - Kwh'!M17+"Tgo!/Z"</f>
        <v>#VALUE!</v>
      </c>
      <c r="G4" t="e">
        <f>'Energy Savings - Kwh'!N17+"Tgo!/["</f>
        <v>#VALUE!</v>
      </c>
      <c r="H4" s="41" t="e">
        <f>'Energy Savings - Kwh'!A18+"Tgo!/\"</f>
        <v>#VALUE!</v>
      </c>
      <c r="I4" s="41" t="e">
        <f>'Energy Savings - Kwh'!B18+"Tgo!/]"</f>
        <v>#VALUE!</v>
      </c>
      <c r="J4" t="e">
        <f>'Energy Savings - Kwh'!C18+"Tgo!/^"</f>
        <v>#VALUE!</v>
      </c>
      <c r="K4" t="e">
        <f>'Energy Savings - Kwh'!D18+"Tgo!/_"</f>
        <v>#VALUE!</v>
      </c>
      <c r="L4" t="e">
        <f>'Energy Savings - Kwh'!E18+"Tgo!/`"</f>
        <v>#VALUE!</v>
      </c>
      <c r="M4" s="41" t="e">
        <f>'Energy Savings - Kwh'!J18+"Tgo!/a"</f>
        <v>#VALUE!</v>
      </c>
      <c r="N4" s="41" t="e">
        <f>'Energy Savings - Kwh'!K18+"Tgo!/b"</f>
        <v>#VALUE!</v>
      </c>
      <c r="O4" t="e">
        <f>'Energy Savings - Kwh'!L18+"Tgo!/c"</f>
        <v>#VALUE!</v>
      </c>
      <c r="P4" t="e">
        <f>'Energy Savings - Kwh'!M18+"Tgo!/d"</f>
        <v>#VALUE!</v>
      </c>
      <c r="Q4" t="e">
        <f>'Energy Savings - Kwh'!N18+"Tgo!/e"</f>
        <v>#VALUE!</v>
      </c>
      <c r="R4" s="41" t="e">
        <f>'Energy Savings - Kwh'!A19+"Tgo!/f"</f>
        <v>#VALUE!</v>
      </c>
      <c r="S4" s="41" t="e">
        <f>'Energy Savings - Kwh'!B19+"Tgo!/g"</f>
        <v>#VALUE!</v>
      </c>
      <c r="T4" t="e">
        <f>'Energy Savings - Kwh'!C19+"Tgo!/h"</f>
        <v>#VALUE!</v>
      </c>
      <c r="U4" t="e">
        <f>'Energy Savings - Kwh'!D19+"Tgo!/i"</f>
        <v>#VALUE!</v>
      </c>
      <c r="V4" t="e">
        <f>'Energy Savings - Kwh'!E19+"Tgo!/j"</f>
        <v>#VALUE!</v>
      </c>
      <c r="W4" s="41" t="e">
        <f>'Energy Savings - Kwh'!J19+"Tgo!/k"</f>
        <v>#VALUE!</v>
      </c>
      <c r="X4" s="41" t="e">
        <f>'Energy Savings - Kwh'!K19+"Tgo!/l"</f>
        <v>#VALUE!</v>
      </c>
      <c r="Y4" t="e">
        <f>'Energy Savings - Kwh'!L19+"Tgo!/m"</f>
        <v>#VALUE!</v>
      </c>
      <c r="Z4" t="e">
        <f>'Energy Savings - Kwh'!M19+"Tgo!/n"</f>
        <v>#VALUE!</v>
      </c>
      <c r="AA4" t="e">
        <f>'Energy Savings - Kwh'!N19+"Tgo!/o"</f>
        <v>#VALUE!</v>
      </c>
      <c r="AB4" s="41" t="e">
        <f>'Energy Savings - Kwh'!A20+"Tgo!/p"</f>
        <v>#VALUE!</v>
      </c>
      <c r="AC4" s="41" t="e">
        <f>'Energy Savings - Kwh'!B20+"Tgo!/q"</f>
        <v>#VALUE!</v>
      </c>
      <c r="AD4" t="e">
        <f>'Energy Savings - Kwh'!C20+"Tgo!/r"</f>
        <v>#VALUE!</v>
      </c>
      <c r="AE4" t="e">
        <f>'Energy Savings - Kwh'!D20+"Tgo!/s"</f>
        <v>#VALUE!</v>
      </c>
      <c r="AF4" t="e">
        <f>'Energy Savings - Kwh'!E20+"Tgo!/t"</f>
        <v>#VALUE!</v>
      </c>
      <c r="AG4" s="41" t="e">
        <f>'Energy Savings - Kwh'!J20+"Tgo!/u"</f>
        <v>#VALUE!</v>
      </c>
      <c r="AH4" s="41" t="e">
        <f>'Energy Savings - Kwh'!K20+"Tgo!/v"</f>
        <v>#VALUE!</v>
      </c>
      <c r="AI4" t="e">
        <f>'Energy Savings - Kwh'!L20+"Tgo!/w"</f>
        <v>#VALUE!</v>
      </c>
      <c r="AJ4" t="e">
        <f>'Energy Savings - Kwh'!M20+"Tgo!/x"</f>
        <v>#VALUE!</v>
      </c>
      <c r="AK4" t="e">
        <f>'Energy Savings - Kwh'!N20+"Tgo!/y"</f>
        <v>#VALUE!</v>
      </c>
      <c r="AL4" s="41" t="e">
        <f>'Energy Savings - Kwh'!A21+"Tgo!/z"</f>
        <v>#VALUE!</v>
      </c>
      <c r="AM4" s="41" t="e">
        <f>'Energy Savings - Kwh'!B21+"Tgo!/{"</f>
        <v>#VALUE!</v>
      </c>
      <c r="AN4" t="e">
        <f>'Energy Savings - Kwh'!C21+"Tgo!/|"</f>
        <v>#VALUE!</v>
      </c>
      <c r="AO4" t="e">
        <f>'Energy Savings - Kwh'!D21+"Tgo!/}"</f>
        <v>#VALUE!</v>
      </c>
      <c r="AP4" t="e">
        <f>'Energy Savings - Kwh'!E21+"Tgo!/~"</f>
        <v>#VALUE!</v>
      </c>
      <c r="AQ4" s="41" t="e">
        <f>'Energy Savings - Kwh'!J21+"Tgo!0#"</f>
        <v>#VALUE!</v>
      </c>
      <c r="AR4" s="41" t="e">
        <f>'Energy Savings - Kwh'!K21+"Tgo!0$"</f>
        <v>#VALUE!</v>
      </c>
      <c r="AS4" t="e">
        <f>'Energy Savings - Kwh'!L21+"Tgo!0%"</f>
        <v>#VALUE!</v>
      </c>
      <c r="AT4" t="e">
        <f>'Energy Savings - Kwh'!M21+"Tgo!0&amp;"</f>
        <v>#VALUE!</v>
      </c>
      <c r="AU4" t="e">
        <f>'Energy Savings - Kwh'!N21+"Tgo!0'"</f>
        <v>#VALUE!</v>
      </c>
      <c r="AV4" s="41" t="e">
        <f>'Energy Savings - Kwh'!A22+"Tgo!0("</f>
        <v>#VALUE!</v>
      </c>
      <c r="AW4" s="41" t="e">
        <f>'Energy Savings - Kwh'!B22+"Tgo!0)"</f>
        <v>#VALUE!</v>
      </c>
      <c r="AX4" t="e">
        <f>'Energy Savings - Kwh'!C22+"Tgo!0."</f>
        <v>#VALUE!</v>
      </c>
      <c r="AY4" t="e">
        <f>'Energy Savings - Kwh'!D22+"Tgo!0/"</f>
        <v>#VALUE!</v>
      </c>
      <c r="AZ4" t="e">
        <f>'Energy Savings - Kwh'!E22+"Tgo!00"</f>
        <v>#VALUE!</v>
      </c>
      <c r="BA4" s="41" t="e">
        <f>'Energy Savings - Kwh'!J22+"Tgo!01"</f>
        <v>#VALUE!</v>
      </c>
      <c r="BB4" s="41" t="e">
        <f>'Energy Savings - Kwh'!K22+"Tgo!02"</f>
        <v>#VALUE!</v>
      </c>
      <c r="BC4" t="e">
        <f>'Energy Savings - Kwh'!L22+"Tgo!03"</f>
        <v>#VALUE!</v>
      </c>
      <c r="BD4" t="e">
        <f>'Energy Savings - Kwh'!M22+"Tgo!04"</f>
        <v>#VALUE!</v>
      </c>
      <c r="BE4" t="e">
        <f>'Energy Savings - Kwh'!N22+"Tgo!05"</f>
        <v>#VALUE!</v>
      </c>
      <c r="BF4" s="41" t="e">
        <f>'Energy Savings - Kwh'!A23+"Tgo!06"</f>
        <v>#VALUE!</v>
      </c>
      <c r="BG4" s="41" t="e">
        <f>'Energy Savings - Kwh'!B23+"Tgo!07"</f>
        <v>#VALUE!</v>
      </c>
      <c r="BH4" t="e">
        <f>'Energy Savings - Kwh'!C23+"Tgo!08"</f>
        <v>#VALUE!</v>
      </c>
      <c r="BI4" t="e">
        <f>'Energy Savings - Kwh'!D23+"Tgo!09"</f>
        <v>#VALUE!</v>
      </c>
      <c r="BJ4" t="e">
        <f>'Energy Savings - Kwh'!E23+"Tgo!0:"</f>
        <v>#VALUE!</v>
      </c>
      <c r="BK4" t="e">
        <f>'Energy Savings - Kwh'!F23+"Tgo!0;"</f>
        <v>#VALUE!</v>
      </c>
      <c r="BL4" t="e">
        <f>'Energy Savings - Kwh'!G23+"Tgo!0&lt;"</f>
        <v>#VALUE!</v>
      </c>
      <c r="BM4" s="41" t="e">
        <f>'Energy Savings - Kwh'!J23+"Tgo!0="</f>
        <v>#VALUE!</v>
      </c>
      <c r="BN4" s="41" t="e">
        <f>'Energy Savings - Kwh'!K23+"Tgo!0&gt;"</f>
        <v>#VALUE!</v>
      </c>
      <c r="BO4" t="e">
        <f>'Energy Savings - Kwh'!L23+"Tgo!0?"</f>
        <v>#VALUE!</v>
      </c>
      <c r="BP4" t="e">
        <f>'Energy Savings - Kwh'!M23+"Tgo!0@"</f>
        <v>#VALUE!</v>
      </c>
      <c r="BQ4" t="e">
        <f>'Energy Savings - Kwh'!N23+"Tgo!0A"</f>
        <v>#VALUE!</v>
      </c>
      <c r="BR4" t="e">
        <f>'Energy Savings - Kwh'!O23+"Tgo!0B"</f>
        <v>#VALUE!</v>
      </c>
      <c r="BS4" t="e">
        <f>'Energy Savings - Kwh'!P23+"Tgo!0C"</f>
        <v>#VALUE!</v>
      </c>
      <c r="BT4" t="e">
        <f>'Energy Savings - Kwh'!F24+"Tgo!0D"</f>
        <v>#VALUE!</v>
      </c>
      <c r="BU4" t="e">
        <f>'Energy Savings - Kwh'!O24+"Tgo!0E"</f>
        <v>#VALUE!</v>
      </c>
      <c r="BV4" t="e">
        <f>'Energy Savings - Kwh'!A25+"Tgo!0F"</f>
        <v>#VALUE!</v>
      </c>
      <c r="BW4" t="e">
        <f>'Energy Savings - Kwh'!A26+"Tgo!0G"</f>
        <v>#VALUE!</v>
      </c>
      <c r="BX4" s="27" t="e">
        <f>'Energy Savings - Kwh'!E26+"Tgo!0H"</f>
        <v>#VALUE!</v>
      </c>
      <c r="BY4" t="e">
        <f>'Energy Savings - Kwh'!F26+"Tgo!0I"</f>
        <v>#VALUE!</v>
      </c>
      <c r="BZ4" t="e">
        <f>'Energy Savings - Kwh'!A27+"Tgo!0J"</f>
        <v>#VALUE!</v>
      </c>
      <c r="CA4" s="27" t="e">
        <f>'Energy Savings - Kwh'!E27+"Tgo!0K"</f>
        <v>#VALUE!</v>
      </c>
      <c r="CB4" t="e">
        <f>'Energy Savings - Kwh'!F27+"Tgo!0L"</f>
        <v>#VALUE!</v>
      </c>
      <c r="CC4" t="e">
        <f>'Energy Savings - Kwh'!A29+"Tgo!0M"</f>
        <v>#VALUE!</v>
      </c>
      <c r="CD4" t="e">
        <f>'Energy Savings - Kwh'!B29+"Tgo!0N"</f>
        <v>#VALUE!</v>
      </c>
      <c r="CE4" t="e">
        <f>'Energy Savings - Kwh'!A30+"Tgo!0O"</f>
        <v>#VALUE!</v>
      </c>
      <c r="CF4" s="42" t="e">
        <f>'Energy Savings - Kwh'!C30+"Tgo!0P"</f>
        <v>#VALUE!</v>
      </c>
      <c r="CG4" t="e">
        <f>'Energy Savings - Kwh'!A31+"Tgo!0Q"</f>
        <v>#VALUE!</v>
      </c>
      <c r="CH4" s="42" t="e">
        <f>'Energy Savings - Kwh'!C31+"Tgo!0R"</f>
        <v>#VALUE!</v>
      </c>
      <c r="CI4" t="e">
        <f>'Energy Savings - Kwh'!A33+"Tgo!0S"</f>
        <v>#VALUE!</v>
      </c>
      <c r="CJ4" t="e">
        <f>'Energy Savings - Kwh'!A35+"Tgo!0T"</f>
        <v>#VALUE!</v>
      </c>
      <c r="CK4" t="e">
        <f>'Energy Savings - Kwh'!B35+"Tgo!0U"</f>
        <v>#VALUE!</v>
      </c>
      <c r="CL4" t="e">
        <f>'Energy Savings - Kwh'!C35+"Tgo!0V"</f>
        <v>#VALUE!</v>
      </c>
      <c r="CM4" t="e">
        <f>'Energy Savings - Kwh'!A36+"Tgo!0W"</f>
        <v>#VALUE!</v>
      </c>
      <c r="CN4" t="e">
        <f>'Energy Savings - Kwh'!B36+"Tgo!0X"</f>
        <v>#VALUE!</v>
      </c>
      <c r="CO4" t="e">
        <f>'Energy Savings - Kwh'!C36+"Tgo!0Y"</f>
        <v>#VALUE!</v>
      </c>
      <c r="CP4" t="e">
        <f>'Energy Savings - Kwh'!A38+"Tgo!0Z"</f>
        <v>#VALUE!</v>
      </c>
      <c r="CQ4" t="e">
        <f>'Energy Savings - Kwh'!A39+"Tgo!0["</f>
        <v>#VALUE!</v>
      </c>
      <c r="CR4" t="e">
        <f>'Energy Savings - Kwh'!B39+"Tgo!0\"</f>
        <v>#VALUE!</v>
      </c>
      <c r="CS4" t="e">
        <f>'Energy Savings - Kwh'!C39+"Tgo!0]"</f>
        <v>#VALUE!</v>
      </c>
      <c r="CT4" t="e">
        <f>'Energy Savings - Kwh'!A40+"Tgo!0^"</f>
        <v>#VALUE!</v>
      </c>
      <c r="CU4" t="e">
        <f>'Energy Savings - Kwh'!B40+"Tgo!0_"</f>
        <v>#VALUE!</v>
      </c>
      <c r="CV4" t="e">
        <f>'Energy Savings - Kwh'!C40+"Tgo!0`"</f>
        <v>#VALUE!</v>
      </c>
      <c r="CW4" t="e">
        <f>'Energy Savings - Kwh'!B41+"Tgo!0a"</f>
        <v>#VALUE!</v>
      </c>
      <c r="CX4" t="e">
        <f>'Energy Savings - Kwh'!A42+"Tgo!0b"</f>
        <v>#VALUE!</v>
      </c>
      <c r="CY4" t="e">
        <f>'Energy Savings - Kwh'!B42+"Tgo!0c"</f>
        <v>#VALUE!</v>
      </c>
      <c r="CZ4" t="e">
        <f>'Energy Savings - Kwh'!A43+"Tgo!0d"</f>
        <v>#VALUE!</v>
      </c>
      <c r="DA4" t="e">
        <f>'Energy Savings - Kwh'!B43+"Tgo!0e"</f>
        <v>#VALUE!</v>
      </c>
      <c r="DB4" t="e">
        <f>'Energy Savings - Kwh'!C43+"Tgo!0f"</f>
        <v>#VALUE!</v>
      </c>
      <c r="DC4" t="e">
        <f>'Energy Savings - Kwh'!A44+"Tgo!0g"</f>
        <v>#VALUE!</v>
      </c>
      <c r="DD4" t="e">
        <f>'Energy Savings - Kwh'!B44+"Tgo!0h"</f>
        <v>#VALUE!</v>
      </c>
      <c r="DE4" t="e">
        <f>'Energy Savings - Kwh'!C44+"Tgo!0i"</f>
        <v>#VALUE!</v>
      </c>
      <c r="DF4" t="e">
        <f>'Energy Savings - Kwh'!A46+"Tgo!0j"</f>
        <v>#VALUE!</v>
      </c>
      <c r="DG4" t="e">
        <f>'Energy Savings - Kwh'!A47+"Tgo!0k"</f>
        <v>#VALUE!</v>
      </c>
      <c r="DH4" s="41" t="e">
        <f>'Energy Savings - Kwh'!A48+"Tgo!0l"</f>
        <v>#VALUE!</v>
      </c>
      <c r="DI4" t="e">
        <f>'Energy Savings - GJ'!A:A*"Tgo!0m"</f>
        <v>#VALUE!</v>
      </c>
      <c r="DJ4" t="e">
        <f>'Energy Savings - GJ'!B:B*"Tgo!0n"</f>
        <v>#VALUE!</v>
      </c>
      <c r="DK4" t="e">
        <f>'Energy Savings - GJ'!C:C*"Tgo!0o"</f>
        <v>#VALUE!</v>
      </c>
      <c r="DL4" t="e">
        <f>'Energy Savings - GJ'!D:D*"Tgo!0p"</f>
        <v>#VALUE!</v>
      </c>
      <c r="DM4" t="e">
        <f>'Energy Savings - GJ'!E:E*"Tgo!0q"</f>
        <v>#VALUE!</v>
      </c>
      <c r="DN4" t="e">
        <f>'Energy Savings - GJ'!F:F*"Tgo!0r"</f>
        <v>#VALUE!</v>
      </c>
      <c r="DO4" t="e">
        <f>'Energy Savings - GJ'!G:G*"Tgo!0s"</f>
        <v>#VALUE!</v>
      </c>
      <c r="DP4" t="e">
        <f>'Energy Savings - GJ'!H:H*"Tgo!0t"</f>
        <v>#VALUE!</v>
      </c>
      <c r="DQ4" t="e">
        <f>'Energy Savings - GJ'!I:I*"Tgo!0u"</f>
        <v>#VALUE!</v>
      </c>
      <c r="DR4" t="e">
        <f>'Energy Savings - GJ'!J:J*"Tgo!0v"</f>
        <v>#VALUE!</v>
      </c>
      <c r="DS4" t="e">
        <f>'Energy Savings - GJ'!K:K*"Tgo!0w"</f>
        <v>#VALUE!</v>
      </c>
      <c r="DT4" t="e">
        <f>'Energy Savings - GJ'!L:L*"Tgo!0x"</f>
        <v>#VALUE!</v>
      </c>
      <c r="DU4" t="e">
        <f>'Energy Savings - GJ'!M:M*"Tgo!0y"</f>
        <v>#VALUE!</v>
      </c>
      <c r="DV4" t="e">
        <f>'Energy Savings - GJ'!N:N*"Tgo!0z"</f>
        <v>#VALUE!</v>
      </c>
      <c r="DW4" t="e">
        <f>'Energy Savings - GJ'!O:O*"Tgo!0{"</f>
        <v>#VALUE!</v>
      </c>
      <c r="DX4" t="e">
        <f>'Energy Savings - GJ'!P:P*"Tgo!0|"</f>
        <v>#VALUE!</v>
      </c>
      <c r="DY4" t="e">
        <f>'Energy Savings - GJ'!Q:Q*"Tgo!0}"</f>
        <v>#VALUE!</v>
      </c>
      <c r="DZ4" t="e">
        <f>'Energy Savings - GJ'!R:R*"Tgo!0~"</f>
        <v>#VALUE!</v>
      </c>
      <c r="EA4" t="e">
        <f>'Energy Savings - GJ'!S:S*"Tgo!1#"</f>
        <v>#VALUE!</v>
      </c>
      <c r="EB4" t="e">
        <f>'Energy Savings - GJ'!T:T*"Tgo!1$"</f>
        <v>#VALUE!</v>
      </c>
      <c r="EC4" t="e">
        <f>'Energy Savings - GJ'!U:U*"Tgo!1%"</f>
        <v>#VALUE!</v>
      </c>
      <c r="ED4" t="e">
        <f>'Energy Savings - GJ'!V:V*"Tgo!1&amp;"</f>
        <v>#VALUE!</v>
      </c>
      <c r="EE4" t="e">
        <f>'Energy Savings - GJ'!W:W*"Tgo!1'"</f>
        <v>#VALUE!</v>
      </c>
      <c r="EF4" t="e">
        <f>'Energy Savings - GJ'!X:X*"Tgo!1("</f>
        <v>#VALUE!</v>
      </c>
      <c r="EG4" t="e">
        <f>'Energy Savings - GJ'!Y:Y*"Tgo!1)"</f>
        <v>#VALUE!</v>
      </c>
      <c r="EH4" t="e">
        <f>'Energy Savings - GJ'!Z:Z*"Tgo!1."</f>
        <v>#VALUE!</v>
      </c>
      <c r="EI4" t="e">
        <f>'Energy Savings - GJ'!AA:AA*"Tgo!1/"</f>
        <v>#VALUE!</v>
      </c>
      <c r="EJ4" t="e">
        <f>'Energy Savings - GJ'!AB:AB*"Tgo!10"</f>
        <v>#VALUE!</v>
      </c>
      <c r="EK4" t="e">
        <f>'Energy Savings - GJ'!AC:AC*"Tgo!11"</f>
        <v>#VALUE!</v>
      </c>
      <c r="EL4" t="e">
        <f>'Energy Savings - GJ'!AD:AD*"Tgo!12"</f>
        <v>#VALUE!</v>
      </c>
      <c r="EM4" t="e">
        <f>'Energy Savings - GJ'!AE:AE*"Tgo!13"</f>
        <v>#VALUE!</v>
      </c>
      <c r="EN4" t="e">
        <f>'Energy Savings - GJ'!AF:AF*"Tgo!14"</f>
        <v>#VALUE!</v>
      </c>
      <c r="EO4" t="e">
        <f>'Energy Savings - GJ'!AG:AG*"Tgo!15"</f>
        <v>#VALUE!</v>
      </c>
      <c r="EP4" t="e">
        <f>'Energy Savings - GJ'!AH:AH*"Tgo!16"</f>
        <v>#VALUE!</v>
      </c>
      <c r="EQ4" t="e">
        <f>'Energy Savings - GJ'!AI:AI*"Tgo!17"</f>
        <v>#VALUE!</v>
      </c>
      <c r="ER4" t="e">
        <f>'Energy Savings - GJ'!AJ:AJ*"Tgo!18"</f>
        <v>#VALUE!</v>
      </c>
      <c r="ES4" t="e">
        <f>'Energy Savings - GJ'!AK:AK*"Tgo!19"</f>
        <v>#VALUE!</v>
      </c>
      <c r="ET4" t="e">
        <f>'Energy Savings - GJ'!AL:AL*"Tgo!1:"</f>
        <v>#VALUE!</v>
      </c>
      <c r="EU4" t="e">
        <f>'Energy Savings - GJ'!AM:AM*"Tgo!1;"</f>
        <v>#VALUE!</v>
      </c>
      <c r="EV4" t="e">
        <f>'Energy Savings - GJ'!AN:AN*"Tgo!1&lt;"</f>
        <v>#VALUE!</v>
      </c>
      <c r="EW4" t="e">
        <f>'Energy Savings - GJ'!AO:AO*"Tgo!1="</f>
        <v>#VALUE!</v>
      </c>
      <c r="EX4" t="e">
        <f>'Energy Savings - GJ'!AP:AP*"Tgo!1&gt;"</f>
        <v>#VALUE!</v>
      </c>
      <c r="EY4" t="e">
        <f>'Energy Savings - GJ'!AQ:AQ*"Tgo!1?"</f>
        <v>#VALUE!</v>
      </c>
      <c r="EZ4" t="e">
        <f>'Energy Savings - GJ'!AR:AR*"Tgo!1@"</f>
        <v>#VALUE!</v>
      </c>
      <c r="FA4" t="e">
        <f>'Energy Savings - GJ'!AS:AS*"Tgo!1A"</f>
        <v>#VALUE!</v>
      </c>
      <c r="FB4" t="e">
        <f>'Energy Savings - GJ'!AT:AT*"Tgo!1B"</f>
        <v>#VALUE!</v>
      </c>
      <c r="FC4" t="e">
        <f>'Energy Savings - GJ'!AU:AU*"Tgo!1C"</f>
        <v>#VALUE!</v>
      </c>
      <c r="FD4" t="e">
        <f>'Energy Savings - GJ'!AV:AV*"Tgo!1D"</f>
        <v>#VALUE!</v>
      </c>
      <c r="FE4" t="e">
        <f>'Energy Savings - GJ'!AW:AW*"Tgo!1E"</f>
        <v>#VALUE!</v>
      </c>
      <c r="FF4" t="e">
        <f>'Energy Savings - GJ'!AX:AX*"Tgo!1F"</f>
        <v>#VALUE!</v>
      </c>
      <c r="FG4" t="e">
        <f>'Energy Savings - GJ'!AY:AY*"Tgo!1G"</f>
        <v>#VALUE!</v>
      </c>
      <c r="FH4" t="e">
        <f>'Energy Savings - GJ'!AZ:AZ*"Tgo!1H"</f>
        <v>#VALUE!</v>
      </c>
      <c r="FI4" t="e">
        <f>'Energy Savings - GJ'!BA:BA*"Tgo!1I"</f>
        <v>#VALUE!</v>
      </c>
      <c r="FJ4" t="e">
        <f>'Energy Savings - GJ'!BB:BB*"Tgo!1J"</f>
        <v>#VALUE!</v>
      </c>
      <c r="FK4" t="e">
        <f>'Energy Savings - GJ'!BC:BC*"Tgo!1K"</f>
        <v>#VALUE!</v>
      </c>
      <c r="FL4" t="e">
        <f>'Energy Savings - GJ'!BD:BD*"Tgo!1L"</f>
        <v>#VALUE!</v>
      </c>
      <c r="FM4" t="e">
        <f>'Energy Savings - GJ'!BE:BE*"Tgo!1M"</f>
        <v>#VALUE!</v>
      </c>
      <c r="FN4" t="e">
        <f>'Energy Savings - GJ'!BF:BF*"Tgo!1N"</f>
        <v>#VALUE!</v>
      </c>
      <c r="FO4" t="e">
        <f>'Energy Savings - GJ'!BG:BG*"Tgo!1O"</f>
        <v>#VALUE!</v>
      </c>
      <c r="FP4" t="e">
        <f>'Energy Savings - GJ'!BH:BH*"Tgo!1P"</f>
        <v>#VALUE!</v>
      </c>
      <c r="FQ4" t="e">
        <f>'Energy Savings - GJ'!BI:BI*"Tgo!1Q"</f>
        <v>#VALUE!</v>
      </c>
      <c r="FR4" t="e">
        <f>'Energy Savings - GJ'!BJ:BJ*"Tgo!1R"</f>
        <v>#VALUE!</v>
      </c>
      <c r="FS4" t="e">
        <f>'Energy Savings - GJ'!BK:BK*"Tgo!1S"</f>
        <v>#VALUE!</v>
      </c>
      <c r="FT4" t="e">
        <f>'Energy Savings - GJ'!BL:BL*"Tgo!1T"</f>
        <v>#VALUE!</v>
      </c>
      <c r="FU4" t="e">
        <f>'Energy Savings - GJ'!BM:BM*"Tgo!1U"</f>
        <v>#VALUE!</v>
      </c>
      <c r="FV4" t="e">
        <f>'Energy Savings - GJ'!BN:BN*"Tgo!1V"</f>
        <v>#VALUE!</v>
      </c>
      <c r="FW4" t="e">
        <f>'Energy Savings - GJ'!BO:BO*"Tgo!1W"</f>
        <v>#VALUE!</v>
      </c>
      <c r="FX4" t="e">
        <f>'Energy Savings - GJ'!BP:BP*"Tgo!1X"</f>
        <v>#VALUE!</v>
      </c>
      <c r="FY4" t="e">
        <f>'Energy Savings - GJ'!BQ:BQ*"Tgo!1Y"</f>
        <v>#VALUE!</v>
      </c>
      <c r="FZ4" t="e">
        <f>'Energy Savings - GJ'!BR:BR*"Tgo!1Z"</f>
        <v>#VALUE!</v>
      </c>
      <c r="GA4" t="e">
        <f>'Energy Savings - GJ'!BS:BS*"Tgo!1["</f>
        <v>#VALUE!</v>
      </c>
      <c r="GB4" t="e">
        <f>'Energy Savings - GJ'!1:1-"Tgo!1\"</f>
        <v>#VALUE!</v>
      </c>
      <c r="GC4" t="e">
        <f>'Energy Savings - GJ'!2:2-"Tgo!1]"</f>
        <v>#VALUE!</v>
      </c>
      <c r="GD4" t="e">
        <f>'Energy Savings - GJ'!3:3-"Tgo!1^"</f>
        <v>#VALUE!</v>
      </c>
      <c r="GE4" t="e">
        <f>'Energy Savings - GJ'!4:4-"Tgo!1_"</f>
        <v>#VALUE!</v>
      </c>
      <c r="GF4" t="e">
        <f>'Energy Savings - GJ'!5:5-"Tgo!1`"</f>
        <v>#VALUE!</v>
      </c>
      <c r="GG4" t="e">
        <f>'Energy Savings - GJ'!6:6-"Tgo!1a"</f>
        <v>#VALUE!</v>
      </c>
      <c r="GH4" t="e">
        <f>'Energy Savings - GJ'!7:7-"Tgo!1b"</f>
        <v>#VALUE!</v>
      </c>
      <c r="GI4" t="e">
        <f>'Energy Savings - GJ'!8:8-"Tgo!1c"</f>
        <v>#VALUE!</v>
      </c>
      <c r="GJ4" t="e">
        <f>'Energy Savings - GJ'!9:9-"Tgo!1d"</f>
        <v>#VALUE!</v>
      </c>
      <c r="GK4" t="e">
        <f>'Energy Savings - GJ'!10:10-"Tgo!1e"</f>
        <v>#VALUE!</v>
      </c>
      <c r="GL4" t="e">
        <f>'Energy Savings - GJ'!11:11-"Tgo!1f"</f>
        <v>#VALUE!</v>
      </c>
      <c r="GM4" t="e">
        <f>'Energy Savings - GJ'!12:12-"Tgo!1g"</f>
        <v>#VALUE!</v>
      </c>
      <c r="GN4" t="e">
        <f>'Energy Savings - GJ'!13:13-"Tgo!1h"</f>
        <v>#VALUE!</v>
      </c>
      <c r="GO4" t="e">
        <f>'Energy Savings - GJ'!14:14-"Tgo!1i"</f>
        <v>#VALUE!</v>
      </c>
      <c r="GP4" t="e">
        <f>'Energy Savings - GJ'!15:15-"Tgo!1j"</f>
        <v>#VALUE!</v>
      </c>
      <c r="GQ4" t="e">
        <f>'Energy Savings - GJ'!16:16-"Tgo!1k"</f>
        <v>#VALUE!</v>
      </c>
      <c r="GR4" t="e">
        <f>'Energy Savings - GJ'!17:17-"Tgo!1l"</f>
        <v>#VALUE!</v>
      </c>
      <c r="GS4" t="e">
        <f>'Energy Savings - GJ'!18:18-"Tgo!1m"</f>
        <v>#VALUE!</v>
      </c>
      <c r="GT4" t="e">
        <f>'Energy Savings - GJ'!19:19-"Tgo!1n"</f>
        <v>#VALUE!</v>
      </c>
      <c r="GU4" t="e">
        <f>'Energy Savings - GJ'!20:20-"Tgo!1o"</f>
        <v>#VALUE!</v>
      </c>
      <c r="GV4" t="e">
        <f>'Energy Savings - GJ'!21:21-"Tgo!1p"</f>
        <v>#VALUE!</v>
      </c>
      <c r="GW4" t="e">
        <f>'Energy Savings - GJ'!22:22-"Tgo!1q"</f>
        <v>#VALUE!</v>
      </c>
      <c r="GX4" t="e">
        <f>'Energy Savings - GJ'!23:23-"Tgo!1r"</f>
        <v>#VALUE!</v>
      </c>
      <c r="GY4" t="e">
        <f>'Energy Savings - GJ'!24:24-"Tgo!1s"</f>
        <v>#VALUE!</v>
      </c>
      <c r="GZ4" t="e">
        <f>'Energy Savings - GJ'!25:25-"Tgo!1t"</f>
        <v>#VALUE!</v>
      </c>
      <c r="HA4" t="e">
        <f>'Energy Savings - GJ'!26:26-"Tgo!1u"</f>
        <v>#VALUE!</v>
      </c>
      <c r="HB4" t="e">
        <f>'Energy Savings - GJ'!27:27-"Tgo!1v"</f>
        <v>#VALUE!</v>
      </c>
      <c r="HC4" t="e">
        <f>'Energy Savings - GJ'!28:28-"Tgo!1w"</f>
        <v>#VALUE!</v>
      </c>
      <c r="HD4" t="e">
        <f>'Energy Savings - GJ'!29:29-"Tgo!1x"</f>
        <v>#VALUE!</v>
      </c>
      <c r="HE4" t="e">
        <f>'Energy Savings - GJ'!30:30-"Tgo!1y"</f>
        <v>#VALUE!</v>
      </c>
      <c r="HF4" t="e">
        <f>'Energy Savings - GJ'!31:31-"Tgo!1z"</f>
        <v>#VALUE!</v>
      </c>
      <c r="HG4" t="e">
        <f>'Energy Savings - GJ'!32:32-"Tgo!1{"</f>
        <v>#VALUE!</v>
      </c>
      <c r="HH4" t="e">
        <f>'Energy Savings - GJ'!33:33-"Tgo!1|"</f>
        <v>#VALUE!</v>
      </c>
      <c r="HI4" t="e">
        <f>'Energy Savings - GJ'!34:34-"Tgo!1}"</f>
        <v>#VALUE!</v>
      </c>
      <c r="HJ4" t="e">
        <f>'Energy Savings - GJ'!35:35-"Tgo!1~"</f>
        <v>#VALUE!</v>
      </c>
      <c r="HK4" t="e">
        <f>'Energy Savings - GJ'!36:36-"Tgo!2#"</f>
        <v>#VALUE!</v>
      </c>
      <c r="HL4" t="e">
        <f>'Energy Savings - GJ'!37:37-"Tgo!2$"</f>
        <v>#VALUE!</v>
      </c>
      <c r="HM4" t="e">
        <f>'Energy Savings - GJ'!38:38-"Tgo!2%"</f>
        <v>#VALUE!</v>
      </c>
      <c r="HN4" t="e">
        <f>'Energy Savings - GJ'!39:39-"Tgo!2&amp;"</f>
        <v>#VALUE!</v>
      </c>
      <c r="HO4" t="e">
        <f>'Energy Savings - GJ'!40:40-"Tgo!2'"</f>
        <v>#VALUE!</v>
      </c>
      <c r="HP4" t="e">
        <f>'Energy Savings - GJ'!41:41-"Tgo!2("</f>
        <v>#VALUE!</v>
      </c>
      <c r="HQ4" t="e">
        <f>'Energy Savings - GJ'!42:42-"Tgo!2)"</f>
        <v>#VALUE!</v>
      </c>
      <c r="HR4" t="e">
        <f>'Energy Savings - GJ'!43:43-"Tgo!2."</f>
        <v>#VALUE!</v>
      </c>
      <c r="HS4" t="e">
        <f>'Energy Savings - GJ'!44:44-"Tgo!2/"</f>
        <v>#VALUE!</v>
      </c>
      <c r="HT4" t="e">
        <f>'Energy Savings - GJ'!45:45-"Tgo!20"</f>
        <v>#VALUE!</v>
      </c>
      <c r="HU4" t="e">
        <f>'Energy Savings - GJ'!46:46-"Tgo!21"</f>
        <v>#VALUE!</v>
      </c>
      <c r="HV4" t="e">
        <f>'Energy Savings - GJ'!47:47-"Tgo!22"</f>
        <v>#VALUE!</v>
      </c>
      <c r="HW4" t="e">
        <f>'Energy Savings - GJ'!48:48-"Tgo!23"</f>
        <v>#VALUE!</v>
      </c>
      <c r="HX4" t="e">
        <f>'Energy Savings - GJ'!49:49-"Tgo!24"</f>
        <v>#VALUE!</v>
      </c>
      <c r="HY4" t="e">
        <f>'Energy Savings - GJ'!50:50-"Tgo!25"</f>
        <v>#VALUE!</v>
      </c>
      <c r="HZ4" t="e">
        <f>'Energy Savings - GJ'!51:51-"Tgo!26"</f>
        <v>#VALUE!</v>
      </c>
      <c r="IA4" t="e">
        <f>'Energy Savings - GJ'!52:52-"Tgo!27"</f>
        <v>#VALUE!</v>
      </c>
      <c r="IB4" t="e">
        <f>'Energy Savings - GJ'!53:53-"Tgo!28"</f>
        <v>#VALUE!</v>
      </c>
      <c r="IC4" t="e">
        <f>'Energy Savings - GJ'!54:54-"Tgo!29"</f>
        <v>#VALUE!</v>
      </c>
      <c r="ID4" t="e">
        <f>'Energy Savings - GJ'!55:55-"Tgo!2:"</f>
        <v>#VALUE!</v>
      </c>
      <c r="IE4" t="e">
        <f>'Energy Savings - GJ'!56:56-"Tgo!2;"</f>
        <v>#VALUE!</v>
      </c>
      <c r="IF4" t="e">
        <f>'Energy Savings - GJ'!57:57-"Tgo!2&lt;"</f>
        <v>#VALUE!</v>
      </c>
      <c r="IG4" t="e">
        <f>'Energy Savings - GJ'!58:58-"Tgo!2="</f>
        <v>#VALUE!</v>
      </c>
      <c r="IH4" t="e">
        <f>'Energy Savings - GJ'!59:59-"Tgo!2&gt;"</f>
        <v>#VALUE!</v>
      </c>
      <c r="II4" t="e">
        <f>'Energy Savings - GJ'!60:60-"Tgo!2?"</f>
        <v>#VALUE!</v>
      </c>
      <c r="IJ4" t="e">
        <f>'Energy Savings - GJ'!61:61-"Tgo!2@"</f>
        <v>#VALUE!</v>
      </c>
      <c r="IK4" t="e">
        <f>'Energy Savings - GJ'!62:62-"Tgo!2A"</f>
        <v>#VALUE!</v>
      </c>
      <c r="IL4" t="e">
        <f>'Energy Savings - GJ'!63:63-"Tgo!2B"</f>
        <v>#VALUE!</v>
      </c>
      <c r="IM4" t="e">
        <f>'Energy Savings - GJ'!64:64-"Tgo!2C"</f>
        <v>#VALUE!</v>
      </c>
      <c r="IN4" t="e">
        <f>'Energy Savings - GJ'!65:65-"Tgo!2D"</f>
        <v>#VALUE!</v>
      </c>
      <c r="IO4" t="e">
        <f>'Energy Savings - GJ'!66:66-"Tgo!2E"</f>
        <v>#VALUE!</v>
      </c>
      <c r="IP4" t="e">
        <f>'Energy Savings - GJ'!67:67-"Tgo!2F"</f>
        <v>#VALUE!</v>
      </c>
      <c r="IQ4" t="e">
        <f>'Energy Savings - GJ'!68:68-"Tgo!2G"</f>
        <v>#VALUE!</v>
      </c>
      <c r="IR4" t="e">
        <f>'Energy Savings - GJ'!69:69-"Tgo!2H"</f>
        <v>#VALUE!</v>
      </c>
      <c r="IS4" t="e">
        <f>'Energy Savings - GJ'!70:70-"Tgo!2I"</f>
        <v>#VALUE!</v>
      </c>
      <c r="IT4" t="e">
        <f>'Energy Savings - GJ'!71:71-"Tgo!2J"</f>
        <v>#VALUE!</v>
      </c>
      <c r="IU4" t="e">
        <f>'Energy Savings - GJ'!72:72-"Tgo!2K"</f>
        <v>#VALUE!</v>
      </c>
      <c r="IV4" t="e">
        <f>'Energy Savings - GJ'!73:73-"Tgo!2L"</f>
        <v>#VALUE!</v>
      </c>
    </row>
    <row r="5" spans="1:256" x14ac:dyDescent="0.25">
      <c r="F5" t="e">
        <f>'Energy Savings - GJ'!74:74-"Tgo!2M"</f>
        <v>#VALUE!</v>
      </c>
      <c r="G5" t="e">
        <f>'Energy Savings - GJ'!75:75-"Tgo!2N"</f>
        <v>#VALUE!</v>
      </c>
      <c r="H5" t="e">
        <f>'Energy Savings - GJ'!76:76-"Tgo!2O"</f>
        <v>#VALUE!</v>
      </c>
      <c r="I5" t="e">
        <f>'Energy Savings - GJ'!77:77-"Tgo!2P"</f>
        <v>#VALUE!</v>
      </c>
      <c r="J5" t="e">
        <f>'Energy Savings - GJ'!78:78-"Tgo!2Q"</f>
        <v>#VALUE!</v>
      </c>
      <c r="K5" t="e">
        <f>'Energy Savings - GJ'!79:79-"Tgo!2R"</f>
        <v>#VALUE!</v>
      </c>
      <c r="L5" t="e">
        <f>'Energy Savings - GJ'!80:80-"Tgo!2S"</f>
        <v>#VALUE!</v>
      </c>
      <c r="M5" t="e">
        <f>'Energy Savings - GJ'!81:81-"Tgo!2T"</f>
        <v>#VALUE!</v>
      </c>
      <c r="N5" t="e">
        <f>'Energy Savings - GJ'!82:82-"Tgo!2U"</f>
        <v>#VALUE!</v>
      </c>
      <c r="O5" t="e">
        <f>'Energy Savings - GJ'!83:83-"Tgo!2V"</f>
        <v>#VALUE!</v>
      </c>
      <c r="P5" t="e">
        <f>'Energy Savings - GJ'!84:84-"Tgo!2W"</f>
        <v>#VALUE!</v>
      </c>
      <c r="Q5" t="e">
        <f>'Energy Savings - GJ'!85:85-"Tgo!2X"</f>
        <v>#VALUE!</v>
      </c>
      <c r="R5" t="e">
        <f>'Energy Savings - GJ'!86:86-"Tgo!2Y"</f>
        <v>#VALUE!</v>
      </c>
      <c r="S5" t="e">
        <f>'Energy Savings - GJ'!87:87-"Tgo!2Z"</f>
        <v>#VALUE!</v>
      </c>
      <c r="T5" t="e">
        <f>'Energy Savings - GJ'!88:88-"Tgo!2["</f>
        <v>#VALUE!</v>
      </c>
      <c r="U5" t="e">
        <f>'Energy Savings - GJ'!89:89-"Tgo!2\"</f>
        <v>#VALUE!</v>
      </c>
      <c r="V5" t="e">
        <f>'Energy Savings - GJ'!90:90-"Tgo!2]"</f>
        <v>#VALUE!</v>
      </c>
      <c r="W5" t="e">
        <f>'Energy Savings - GJ'!91:91-"Tgo!2^"</f>
        <v>#VALUE!</v>
      </c>
      <c r="X5" t="e">
        <f>'Energy Savings - GJ'!92:92-"Tgo!2_"</f>
        <v>#VALUE!</v>
      </c>
      <c r="Y5" t="e">
        <f>'Energy Savings - GJ'!93:93-"Tgo!2`"</f>
        <v>#VALUE!</v>
      </c>
      <c r="Z5" t="e">
        <f>'Energy Savings - GJ'!94:94-"Tgo!2a"</f>
        <v>#VALUE!</v>
      </c>
      <c r="AA5" t="e">
        <f>'Energy Savings - GJ'!95:95-"Tgo!2b"</f>
        <v>#VALUE!</v>
      </c>
      <c r="AB5" t="e">
        <f>'Energy Savings - GJ'!96:96-"Tgo!2c"</f>
        <v>#VALUE!</v>
      </c>
      <c r="AC5" t="e">
        <f>'Energy Savings - GJ'!97:97-"Tgo!2d"</f>
        <v>#VALUE!</v>
      </c>
      <c r="AD5" t="e">
        <f>'Energy Savings - GJ'!98:98-"Tgo!2e"</f>
        <v>#VALUE!</v>
      </c>
      <c r="AE5" t="e">
        <f>'Energy Savings - GJ'!99:99-"Tgo!2f"</f>
        <v>#VALUE!</v>
      </c>
      <c r="AF5" t="e">
        <f>'Energy Savings - GJ'!100:100-"Tgo!2g"</f>
        <v>#VALUE!</v>
      </c>
      <c r="AG5" t="e">
        <f>'Energy Savings - GJ'!101:101-"Tgo!2h"</f>
        <v>#VALUE!</v>
      </c>
      <c r="AH5" t="e">
        <f>'Energy Savings - GJ'!102:102-"Tgo!2i"</f>
        <v>#VALUE!</v>
      </c>
      <c r="AI5" t="e">
        <f>'Energy Savings - GJ'!103:103-"Tgo!2j"</f>
        <v>#VALUE!</v>
      </c>
      <c r="AJ5" t="e">
        <f>'Energy Savings - GJ'!104:104-"Tgo!2k"</f>
        <v>#VALUE!</v>
      </c>
      <c r="AK5" t="e">
        <f>'Energy Savings - GJ'!105:105-"Tgo!2l"</f>
        <v>#VALUE!</v>
      </c>
      <c r="AL5" t="e">
        <f>'Energy Savings - GJ'!106:106-"Tgo!2m"</f>
        <v>#VALUE!</v>
      </c>
      <c r="AM5" t="e">
        <f>'Energy Savings - GJ'!107:107-"Tgo!2n"</f>
        <v>#VALUE!</v>
      </c>
      <c r="AN5" t="e">
        <f>'Energy Savings - GJ'!108:108-"Tgo!2o"</f>
        <v>#VALUE!</v>
      </c>
      <c r="AO5" t="e">
        <f>'Energy Savings - GJ'!109:109-"Tgo!2p"</f>
        <v>#VALUE!</v>
      </c>
      <c r="AP5" t="e">
        <f>'Energy Savings - GJ'!110:110-"Tgo!2q"</f>
        <v>#VALUE!</v>
      </c>
      <c r="AQ5" t="e">
        <f>'Energy Savings - GJ'!111:111-"Tgo!2r"</f>
        <v>#VALUE!</v>
      </c>
      <c r="AR5" t="e">
        <f>'Energy Savings - GJ'!112:112-"Tgo!2s"</f>
        <v>#VALUE!</v>
      </c>
      <c r="AS5" t="e">
        <f>'Energy Savings - GJ'!113:113-"Tgo!2t"</f>
        <v>#VALUE!</v>
      </c>
      <c r="AT5" t="e">
        <f>'Energy Savings - GJ'!114:114-"Tgo!2u"</f>
        <v>#VALUE!</v>
      </c>
      <c r="AU5" t="e">
        <f>'Energy Savings - GJ'!115:115-"Tgo!2v"</f>
        <v>#VALUE!</v>
      </c>
      <c r="AV5" t="e">
        <f>'Energy Savings - GJ'!116:116-"Tgo!2w"</f>
        <v>#VALUE!</v>
      </c>
      <c r="AW5" t="e">
        <f>'Energy Savings - GJ'!117:117-"Tgo!2x"</f>
        <v>#VALUE!</v>
      </c>
      <c r="AX5" t="e">
        <f>'Energy Savings - GJ'!118:118-"Tgo!2y"</f>
        <v>#VALUE!</v>
      </c>
      <c r="AY5" t="e">
        <f>'Energy Savings - GJ'!119:119-"Tgo!2z"</f>
        <v>#VALUE!</v>
      </c>
      <c r="AZ5" t="e">
        <f>'Energy Savings - GJ'!120:120-"Tgo!2{"</f>
        <v>#VALUE!</v>
      </c>
      <c r="BA5" t="e">
        <f>'Energy Savings - GJ'!121:121-"Tgo!2|"</f>
        <v>#VALUE!</v>
      </c>
      <c r="BB5" t="e">
        <f>'Energy Savings - GJ'!122:122-"Tgo!2}"</f>
        <v>#VALUE!</v>
      </c>
      <c r="BC5" t="e">
        <f>'Energy Savings - GJ'!123:123-"Tgo!2~"</f>
        <v>#VALUE!</v>
      </c>
      <c r="BD5" t="e">
        <f>'Energy Savings - GJ'!124:124-"Tgo!3#"</f>
        <v>#VALUE!</v>
      </c>
      <c r="BE5" t="e">
        <f>'Energy Savings - GJ'!125:125-"Tgo!3$"</f>
        <v>#VALUE!</v>
      </c>
      <c r="BF5" t="e">
        <f>'Energy Savings - GJ'!126:126-"Tgo!3%"</f>
        <v>#VALUE!</v>
      </c>
      <c r="BG5" t="e">
        <f>'Energy Savings - GJ'!127:127-"Tgo!3&amp;"</f>
        <v>#VALUE!</v>
      </c>
      <c r="BH5" t="e">
        <f>'Energy Savings - GJ'!128:128-"Tgo!3'"</f>
        <v>#VALUE!</v>
      </c>
      <c r="BI5" t="e">
        <f>'Energy Savings - GJ'!129:129-"Tgo!3("</f>
        <v>#VALUE!</v>
      </c>
      <c r="BJ5" t="e">
        <f>'Energy Savings - GJ'!130:130-"Tgo!3)"</f>
        <v>#VALUE!</v>
      </c>
      <c r="BK5" t="e">
        <f>'Energy Savings - GJ'!131:131-"Tgo!3."</f>
        <v>#VALUE!</v>
      </c>
      <c r="BL5" t="e">
        <f>'Energy Savings - GJ'!132:132-"Tgo!3/"</f>
        <v>#VALUE!</v>
      </c>
      <c r="BM5" t="e">
        <f>'Energy Savings - GJ'!133:133-"Tgo!30"</f>
        <v>#VALUE!</v>
      </c>
      <c r="BN5" t="e">
        <f>'Energy Savings - GJ'!134:134-"Tgo!31"</f>
        <v>#VALUE!</v>
      </c>
      <c r="BO5" t="e">
        <f>'Energy Savings - GJ'!135:135-"Tgo!32"</f>
        <v>#VALUE!</v>
      </c>
      <c r="BP5" t="e">
        <f>'Energy Savings - GJ'!136:136-"Tgo!33"</f>
        <v>#VALUE!</v>
      </c>
      <c r="BQ5" t="e">
        <f>'Energy Savings - GJ'!137:137-"Tgo!34"</f>
        <v>#VALUE!</v>
      </c>
      <c r="BR5" t="e">
        <f>'Energy Savings - GJ'!138:138-"Tgo!35"</f>
        <v>#VALUE!</v>
      </c>
      <c r="BS5" t="e">
        <f>'Energy Savings - GJ'!139:139-"Tgo!36"</f>
        <v>#VALUE!</v>
      </c>
      <c r="BT5" t="e">
        <f>'Energy Savings - GJ'!140:140-"Tgo!37"</f>
        <v>#VALUE!</v>
      </c>
      <c r="BU5" t="e">
        <f>'Energy Savings - GJ'!141:141-"Tgo!38"</f>
        <v>#VALUE!</v>
      </c>
      <c r="BV5" t="e">
        <f>'Energy Savings - GJ'!142:142-"Tgo!39"</f>
        <v>#VALUE!</v>
      </c>
      <c r="BW5" t="e">
        <f>'Energy Savings - GJ'!143:143-"Tgo!3:"</f>
        <v>#VALUE!</v>
      </c>
      <c r="BX5" t="e">
        <f>'Energy Savings - GJ'!144:144-"Tgo!3;"</f>
        <v>#VALUE!</v>
      </c>
      <c r="BY5" t="e">
        <f>'Energy Savings - GJ'!145:145-"Tgo!3&lt;"</f>
        <v>#VALUE!</v>
      </c>
      <c r="BZ5" t="e">
        <f>'Energy Savings - GJ'!146:146-"Tgo!3="</f>
        <v>#VALUE!</v>
      </c>
      <c r="CA5" t="e">
        <f>'Energy Savings - GJ'!147:147-"Tgo!3&gt;"</f>
        <v>#VALUE!</v>
      </c>
      <c r="CB5" t="e">
        <f>'Energy Savings - GJ'!148:148-"Tgo!3?"</f>
        <v>#VALUE!</v>
      </c>
      <c r="CC5" t="e">
        <f>'Energy Savings - GJ'!149:149-"Tgo!3@"</f>
        <v>#VALUE!</v>
      </c>
      <c r="CD5" t="e">
        <f>'Energy Savings - GJ'!150:150-"Tgo!3A"</f>
        <v>#VALUE!</v>
      </c>
      <c r="CE5" t="e">
        <f>'Energy Savings - GJ'!151:151-"Tgo!3B"</f>
        <v>#VALUE!</v>
      </c>
      <c r="CF5" t="e">
        <f>'Energy Savings - GJ'!152:152-"Tgo!3C"</f>
        <v>#VALUE!</v>
      </c>
      <c r="CG5" t="e">
        <f>'Energy Savings - GJ'!153:153-"Tgo!3D"</f>
        <v>#VALUE!</v>
      </c>
      <c r="CH5" t="e">
        <f>'Energy Savings - GJ'!154:154-"Tgo!3E"</f>
        <v>#VALUE!</v>
      </c>
      <c r="CI5" t="e">
        <f>'Energy Savings - GJ'!155:155-"Tgo!3F"</f>
        <v>#VALUE!</v>
      </c>
      <c r="CJ5" t="e">
        <f>'Energy Savings - GJ'!156:156-"Tgo!3G"</f>
        <v>#VALUE!</v>
      </c>
      <c r="CK5" t="e">
        <f>'Energy Savings - GJ'!157:157-"Tgo!3H"</f>
        <v>#VALUE!</v>
      </c>
      <c r="CL5" t="e">
        <f>'Energy Savings - GJ'!158:158-"Tgo!3I"</f>
        <v>#VALUE!</v>
      </c>
      <c r="CM5" t="e">
        <f>'Energy Savings - GJ'!159:159-"Tgo!3J"</f>
        <v>#VALUE!</v>
      </c>
      <c r="CN5" t="e">
        <f>'Energy Savings - GJ'!160:160-"Tgo!3K"</f>
        <v>#VALUE!</v>
      </c>
      <c r="CO5" t="e">
        <f>'Energy Savings - GJ'!161:161-"Tgo!3L"</f>
        <v>#VALUE!</v>
      </c>
      <c r="CP5" t="e">
        <f>'Energy Savings - GJ'!162:162-"Tgo!3M"</f>
        <v>#VALUE!</v>
      </c>
      <c r="CQ5" t="e">
        <f>'Energy Savings - GJ'!163:163-"Tgo!3N"</f>
        <v>#VALUE!</v>
      </c>
      <c r="CR5" t="e">
        <f>'Energy Savings - GJ'!164:164-"Tgo!3O"</f>
        <v>#VALUE!</v>
      </c>
      <c r="CS5" t="e">
        <f>'Energy Savings - GJ'!165:165-"Tgo!3P"</f>
        <v>#VALUE!</v>
      </c>
      <c r="CT5" t="e">
        <f>'Energy Savings - GJ'!166:166-"Tgo!3Q"</f>
        <v>#VALUE!</v>
      </c>
      <c r="CU5" t="e">
        <f>'Energy Savings - GJ'!167:167-"Tgo!3R"</f>
        <v>#VALUE!</v>
      </c>
      <c r="CV5" t="e">
        <f>'Energy Savings - GJ'!168:168-"Tgo!3S"</f>
        <v>#VALUE!</v>
      </c>
      <c r="CW5" t="e">
        <f>'Energy Savings - GJ'!169:169-"Tgo!3T"</f>
        <v>#VALUE!</v>
      </c>
      <c r="CX5" t="e">
        <f>'Energy Savings - GJ'!170:170-"Tgo!3U"</f>
        <v>#VALUE!</v>
      </c>
      <c r="CY5" t="e">
        <f>'Energy Savings - GJ'!171:171-"Tgo!3V"</f>
        <v>#VALUE!</v>
      </c>
      <c r="CZ5" t="e">
        <f>'Energy Savings - GJ'!172:172-"Tgo!3W"</f>
        <v>#VALUE!</v>
      </c>
      <c r="DA5" t="e">
        <f>'Energy Savings - GJ'!173:173-"Tgo!3X"</f>
        <v>#VALUE!</v>
      </c>
      <c r="DB5" t="e">
        <f>'Energy Savings - GJ'!174:174-"Tgo!3Y"</f>
        <v>#VALUE!</v>
      </c>
      <c r="DC5" t="e">
        <f>'Energy Savings - GJ'!175:175-"Tgo!3Z"</f>
        <v>#VALUE!</v>
      </c>
      <c r="DD5" t="e">
        <f>'Energy Savings - GJ'!176:176-"Tgo!3["</f>
        <v>#VALUE!</v>
      </c>
      <c r="DE5" t="e">
        <f>'Energy Savings - GJ'!177:177-"Tgo!3\"</f>
        <v>#VALUE!</v>
      </c>
      <c r="DF5" t="e">
        <f>'Energy Savings - GJ'!178:178-"Tgo!3]"</f>
        <v>#VALUE!</v>
      </c>
      <c r="DG5" t="e">
        <f>'Energy Savings - GJ'!179:179-"Tgo!3^"</f>
        <v>#VALUE!</v>
      </c>
      <c r="DH5" t="e">
        <f>'Energy Savings - GJ'!180:180-"Tgo!3_"</f>
        <v>#VALUE!</v>
      </c>
      <c r="DI5" t="e">
        <f>'Energy Savings - GJ'!181:181-"Tgo!3`"</f>
        <v>#VALUE!</v>
      </c>
      <c r="DJ5" t="e">
        <f>'Energy Savings - GJ'!182:182-"Tgo!3a"</f>
        <v>#VALUE!</v>
      </c>
      <c r="DK5" t="e">
        <f>'Energy Savings - GJ'!183:183-"Tgo!3b"</f>
        <v>#VALUE!</v>
      </c>
      <c r="DL5" t="e">
        <f>'Energy Savings - GJ'!184:184-"Tgo!3c"</f>
        <v>#VALUE!</v>
      </c>
      <c r="DM5" t="e">
        <f>'Energy Savings - GJ'!185:185-"Tgo!3d"</f>
        <v>#VALUE!</v>
      </c>
      <c r="DN5" t="e">
        <f>'Energy Savings - GJ'!186:186-"Tgo!3e"</f>
        <v>#VALUE!</v>
      </c>
      <c r="DO5" t="e">
        <f>'Energy Savings - GJ'!187:187-"Tgo!3f"</f>
        <v>#VALUE!</v>
      </c>
      <c r="DP5" t="e">
        <f>'Energy Savings - GJ'!188:188-"Tgo!3g"</f>
        <v>#VALUE!</v>
      </c>
      <c r="DQ5" t="e">
        <f>'Energy Savings - GJ'!189:189-"Tgo!3h"</f>
        <v>#VALUE!</v>
      </c>
      <c r="DR5" t="e">
        <f>'Energy Savings - GJ'!190:190-"Tgo!3i"</f>
        <v>#VALUE!</v>
      </c>
      <c r="DS5" t="e">
        <f>'Energy Savings - GJ'!191:191-"Tgo!3j"</f>
        <v>#VALUE!</v>
      </c>
      <c r="DT5" t="e">
        <f>'Energy Savings - GJ'!192:192-"Tgo!3k"</f>
        <v>#VALUE!</v>
      </c>
      <c r="DU5" t="e">
        <f>'Energy Savings - GJ'!193:193-"Tgo!3l"</f>
        <v>#VALUE!</v>
      </c>
      <c r="DV5" t="e">
        <f>'Energy Savings - GJ'!194:194-"Tgo!3m"</f>
        <v>#VALUE!</v>
      </c>
      <c r="DW5" t="e">
        <f>'Energy Savings - GJ'!195:195-"Tgo!3n"</f>
        <v>#VALUE!</v>
      </c>
      <c r="DX5" t="e">
        <f>'Energy Savings - GJ'!196:196-"Tgo!3o"</f>
        <v>#VALUE!</v>
      </c>
      <c r="DY5" t="e">
        <f>'Energy Savings - GJ'!197:197-"Tgo!3p"</f>
        <v>#VALUE!</v>
      </c>
      <c r="DZ5" t="e">
        <f>'Energy Savings - GJ'!198:198-"Tgo!3q"</f>
        <v>#VALUE!</v>
      </c>
      <c r="EA5" t="e">
        <f>'Energy Savings - GJ'!199:199-"Tgo!3r"</f>
        <v>#VALUE!</v>
      </c>
      <c r="EB5" t="e">
        <f>'Energy Savings - GJ'!200:200-"Tgo!3s"</f>
        <v>#VALUE!</v>
      </c>
      <c r="EC5" t="e">
        <f>'Energy Savings - GJ'!201:201-"Tgo!3t"</f>
        <v>#VALUE!</v>
      </c>
      <c r="ED5" t="e">
        <f>'Energy Savings - GJ'!202:202-"Tgo!3u"</f>
        <v>#VALUE!</v>
      </c>
      <c r="EE5" t="e">
        <f>'Energy Savings - GJ'!203:203-"Tgo!3v"</f>
        <v>#VALUE!</v>
      </c>
      <c r="EF5" t="e">
        <f>'Energy Savings - GJ'!204:204-"Tgo!3w"</f>
        <v>#VALUE!</v>
      </c>
      <c r="EG5" t="e">
        <f>'Energy Savings - GJ'!205:205-"Tgo!3x"</f>
        <v>#VALUE!</v>
      </c>
      <c r="EH5" t="e">
        <f>'Energy Savings - GJ'!206:206-"Tgo!3y"</f>
        <v>#VALUE!</v>
      </c>
      <c r="EI5" t="e">
        <f>'Energy Savings - GJ'!207:207-"Tgo!3z"</f>
        <v>#VALUE!</v>
      </c>
      <c r="EJ5" t="e">
        <f>'Energy Savings - GJ'!208:208-"Tgo!3{"</f>
        <v>#VALUE!</v>
      </c>
      <c r="EK5" t="e">
        <f>'Energy Savings - GJ'!209:209-"Tgo!3|"</f>
        <v>#VALUE!</v>
      </c>
      <c r="EL5" t="e">
        <f>'Energy Savings - GJ'!210:210-"Tgo!3}"</f>
        <v>#VALUE!</v>
      </c>
      <c r="EM5" t="e">
        <f>'Energy Savings - GJ'!211:211-"Tgo!3~"</f>
        <v>#VALUE!</v>
      </c>
      <c r="EN5" t="e">
        <f>'Energy Savings - GJ'!212:212-"Tgo!4#"</f>
        <v>#VALUE!</v>
      </c>
      <c r="EO5" t="e">
        <f>'Energy Savings - GJ'!213:213-"Tgo!4$"</f>
        <v>#VALUE!</v>
      </c>
      <c r="EP5" t="e">
        <f>'Energy Savings - GJ'!214:214-"Tgo!4%"</f>
        <v>#VALUE!</v>
      </c>
      <c r="EQ5" t="e">
        <f>'Energy Savings - GJ'!215:215-"Tgo!4&amp;"</f>
        <v>#VALUE!</v>
      </c>
      <c r="ER5" t="e">
        <f>'Energy Savings - GJ'!216:216-"Tgo!4'"</f>
        <v>#VALUE!</v>
      </c>
      <c r="ES5" t="e">
        <f>'Energy Savings - GJ'!217:217-"Tgo!4("</f>
        <v>#VALUE!</v>
      </c>
      <c r="ET5" t="e">
        <f>'Energy Savings - GJ'!218:218-"Tgo!4)"</f>
        <v>#VALUE!</v>
      </c>
      <c r="EU5" t="e">
        <f>'Energy Savings - GJ'!219:219-"Tgo!4."</f>
        <v>#VALUE!</v>
      </c>
      <c r="EV5" t="e">
        <f>'Energy Savings - GJ'!220:220-"Tgo!4/"</f>
        <v>#VALUE!</v>
      </c>
      <c r="EW5" t="e">
        <f>'Energy Savings - GJ'!221:221-"Tgo!40"</f>
        <v>#VALUE!</v>
      </c>
      <c r="EX5" t="e">
        <f>'Energy Savings - GJ'!222:222-"Tgo!41"</f>
        <v>#VALUE!</v>
      </c>
      <c r="EY5" t="e">
        <f>'Energy Savings - GJ'!223:223-"Tgo!42"</f>
        <v>#VALUE!</v>
      </c>
      <c r="EZ5" t="e">
        <f>'Energy Savings - GJ'!224:224-"Tgo!43"</f>
        <v>#VALUE!</v>
      </c>
      <c r="FA5" t="e">
        <f>'Energy Savings - GJ'!225:225-"Tgo!44"</f>
        <v>#VALUE!</v>
      </c>
      <c r="FB5" t="e">
        <f>'Energy Savings - GJ'!226:226-"Tgo!45"</f>
        <v>#VALUE!</v>
      </c>
      <c r="FC5" t="e">
        <f>'Energy Savings - GJ'!227:227-"Tgo!46"</f>
        <v>#VALUE!</v>
      </c>
      <c r="FD5" t="e">
        <f>'Energy Savings - GJ'!228:228-"Tgo!47"</f>
        <v>#VALUE!</v>
      </c>
      <c r="FE5" t="e">
        <f>'Energy Savings - GJ'!229:229-"Tgo!48"</f>
        <v>#VALUE!</v>
      </c>
      <c r="FF5" t="e">
        <f>'Energy Savings - GJ'!230:230-"Tgo!49"</f>
        <v>#VALUE!</v>
      </c>
      <c r="FG5" t="e">
        <f>'Energy Savings - GJ'!231:231-"Tgo!4:"</f>
        <v>#VALUE!</v>
      </c>
      <c r="FH5" t="e">
        <f>'Energy Savings - GJ'!232:232-"Tgo!4;"</f>
        <v>#VALUE!</v>
      </c>
      <c r="FI5" t="e">
        <f>'Energy Savings - GJ'!233:233-"Tgo!4&lt;"</f>
        <v>#VALUE!</v>
      </c>
      <c r="FJ5" t="e">
        <f>'Energy Savings - GJ'!234:234-"Tgo!4="</f>
        <v>#VALUE!</v>
      </c>
      <c r="FK5" t="e">
        <f>'Energy Savings - GJ'!235:235-"Tgo!4&gt;"</f>
        <v>#VALUE!</v>
      </c>
      <c r="FL5" t="e">
        <f>'Energy Savings - GJ'!236:236-"Tgo!4?"</f>
        <v>#VALUE!</v>
      </c>
      <c r="FM5" t="e">
        <f>'Energy Savings - GJ'!237:237-"Tgo!4@"</f>
        <v>#VALUE!</v>
      </c>
      <c r="FN5" t="e">
        <f>'Energy Savings - GJ'!238:238-"Tgo!4A"</f>
        <v>#VALUE!</v>
      </c>
      <c r="FO5" t="e">
        <f>'Energy Savings - GJ'!239:239-"Tgo!4B"</f>
        <v>#VALUE!</v>
      </c>
      <c r="FP5" t="e">
        <f>'Energy Savings - GJ'!240:240-"Tgo!4C"</f>
        <v>#VALUE!</v>
      </c>
      <c r="FQ5" t="e">
        <f>'Energy Savings - GJ'!241:241-"Tgo!4D"</f>
        <v>#VALUE!</v>
      </c>
      <c r="FR5" t="e">
        <f>'Energy Savings - GJ'!242:242-"Tgo!4E"</f>
        <v>#VALUE!</v>
      </c>
      <c r="FS5" t="e">
        <f>'Energy Savings - GJ'!243:243-"Tgo!4F"</f>
        <v>#VALUE!</v>
      </c>
      <c r="FT5" t="e">
        <f>'Energy Savings - GJ'!244:244-"Tgo!4G"</f>
        <v>#VALUE!</v>
      </c>
      <c r="FU5" t="e">
        <f>'Energy Savings - GJ'!245:245-"Tgo!4H"</f>
        <v>#VALUE!</v>
      </c>
      <c r="FV5" t="e">
        <f>'Energy Savings - GJ'!246:246-"Tgo!4I"</f>
        <v>#VALUE!</v>
      </c>
      <c r="FW5" t="e">
        <f>'Energy Savings - GJ'!247:247-"Tgo!4J"</f>
        <v>#VALUE!</v>
      </c>
      <c r="FX5" t="e">
        <f>'Energy Savings - GJ'!248:248-"Tgo!4K"</f>
        <v>#VALUE!</v>
      </c>
      <c r="FY5" t="e">
        <f>'Energy Savings - GJ'!249:249-"Tgo!4L"</f>
        <v>#VALUE!</v>
      </c>
      <c r="FZ5" t="e">
        <f>'Energy Savings - GJ'!250:250-"Tgo!4M"</f>
        <v>#VALUE!</v>
      </c>
      <c r="GA5" t="e">
        <f>'Energy Savings - GJ'!A1+"Tgo!4N"</f>
        <v>#VALUE!</v>
      </c>
      <c r="GB5" t="e">
        <f>'Energy Savings - GJ'!A3+"Tgo!4O"</f>
        <v>#VALUE!</v>
      </c>
      <c r="GC5" t="e">
        <f>'Energy Savings - GJ'!K3+"Tgo!4P"</f>
        <v>#VALUE!</v>
      </c>
      <c r="GD5" t="e">
        <f>'Energy Savings - GJ'!C5+"Tgo!4Q"</f>
        <v>#VALUE!</v>
      </c>
      <c r="GE5" t="e">
        <f>'Energy Savings - GJ'!M5+"Tgo!4R"</f>
        <v>#VALUE!</v>
      </c>
      <c r="GF5" t="e">
        <f>'Energy Savings - GJ'!C7+"Tgo!4S"</f>
        <v>#VALUE!</v>
      </c>
      <c r="GG5" t="e">
        <f>'Energy Savings - GJ'!D7+"Tgo!4T"</f>
        <v>#VALUE!</v>
      </c>
      <c r="GH5" t="e">
        <f>'Energy Savings - GJ'!E7+"Tgo!4U"</f>
        <v>#VALUE!</v>
      </c>
      <c r="GI5" t="e">
        <f>'Energy Savings - GJ'!M7+"Tgo!4V"</f>
        <v>#VALUE!</v>
      </c>
      <c r="GJ5" t="e">
        <f>'Energy Savings - GJ'!N7+"Tgo!4W"</f>
        <v>#VALUE!</v>
      </c>
      <c r="GK5" t="e">
        <f>'Energy Savings - GJ'!O7+"Tgo!4X"</f>
        <v>#VALUE!</v>
      </c>
      <c r="GL5" t="e">
        <f>'Energy Savings - GJ'!C8+"Tgo!4Y"</f>
        <v>#VALUE!</v>
      </c>
      <c r="GM5" t="e">
        <f>'Energy Savings - GJ'!D8+"Tgo!4Z"</f>
        <v>#VALUE!</v>
      </c>
      <c r="GN5" t="e">
        <f>'Energy Savings - GJ'!M8+"Tgo!4["</f>
        <v>#VALUE!</v>
      </c>
      <c r="GO5" t="e">
        <f>'Energy Savings - GJ'!N8+"Tgo!4\"</f>
        <v>#VALUE!</v>
      </c>
      <c r="GP5" t="e">
        <f>'Energy Savings - GJ'!C9+"Tgo!4]"</f>
        <v>#VALUE!</v>
      </c>
      <c r="GQ5" t="e">
        <f>'Energy Savings - GJ'!D9+"Tgo!4^"</f>
        <v>#VALUE!</v>
      </c>
      <c r="GR5" t="e">
        <f>'Energy Savings - GJ'!M9+"Tgo!4_"</f>
        <v>#VALUE!</v>
      </c>
      <c r="GS5" t="e">
        <f>'Energy Savings - GJ'!N9+"Tgo!4`"</f>
        <v>#VALUE!</v>
      </c>
      <c r="GT5" t="e">
        <f>'Energy Savings - GJ'!C10+"Tgo!4a"</f>
        <v>#VALUE!</v>
      </c>
      <c r="GU5" t="e">
        <f>'Energy Savings - GJ'!D10+"Tgo!4b"</f>
        <v>#VALUE!</v>
      </c>
      <c r="GV5" t="e">
        <f>'Energy Savings - GJ'!M10+"Tgo!4c"</f>
        <v>#VALUE!</v>
      </c>
      <c r="GW5" t="e">
        <f>'Energy Savings - GJ'!N10+"Tgo!4d"</f>
        <v>#VALUE!</v>
      </c>
      <c r="GX5" t="e">
        <f>'Energy Savings - GJ'!C11+"Tgo!4e"</f>
        <v>#VALUE!</v>
      </c>
      <c r="GY5" t="e">
        <f>'Energy Savings - GJ'!D11+"Tgo!4f"</f>
        <v>#VALUE!</v>
      </c>
      <c r="GZ5" t="e">
        <f>'Energy Savings - GJ'!M11+"Tgo!4g"</f>
        <v>#VALUE!</v>
      </c>
      <c r="HA5" t="e">
        <f>'Energy Savings - GJ'!N11+"Tgo!4h"</f>
        <v>#VALUE!</v>
      </c>
      <c r="HB5" t="e">
        <f>'Energy Savings - GJ'!B14+"Tgo!4i"</f>
        <v>#VALUE!</v>
      </c>
      <c r="HC5" t="e">
        <f>'Energy Savings - GJ'!C14+"Tgo!4j"</f>
        <v>#VALUE!</v>
      </c>
      <c r="HD5" t="e">
        <f>'Energy Savings - GJ'!L14+"Tgo!4k"</f>
        <v>#VALUE!</v>
      </c>
      <c r="HE5" t="e">
        <f>'Energy Savings - GJ'!M14+"Tgo!4l"</f>
        <v>#VALUE!</v>
      </c>
      <c r="HF5" t="e">
        <f>'Energy Savings - GJ'!B16+"Tgo!4m"</f>
        <v>#VALUE!</v>
      </c>
      <c r="HG5" t="e">
        <f>'Energy Savings - GJ'!L16+"Tgo!4n"</f>
        <v>#VALUE!</v>
      </c>
      <c r="HH5" t="e">
        <f>'Energy Savings - GJ'!C18+"Tgo!4o"</f>
        <v>#VALUE!</v>
      </c>
      <c r="HI5" t="e">
        <f>'Energy Savings - GJ'!D18+"Tgo!4p"</f>
        <v>#VALUE!</v>
      </c>
      <c r="HJ5" t="e">
        <f>'Energy Savings - GJ'!M18+"Tgo!4q"</f>
        <v>#VALUE!</v>
      </c>
      <c r="HK5" t="e">
        <f>'Energy Savings - GJ'!N18+"Tgo!4r"</f>
        <v>#VALUE!</v>
      </c>
      <c r="HL5" t="e">
        <f>'Energy Savings - GJ'!C19+"Tgo!4s"</f>
        <v>#VALUE!</v>
      </c>
      <c r="HM5" t="e">
        <f>'Energy Savings - GJ'!D19+"Tgo!4t"</f>
        <v>#VALUE!</v>
      </c>
      <c r="HN5" t="e">
        <f>'Energy Savings - GJ'!M19+"Tgo!4u"</f>
        <v>#VALUE!</v>
      </c>
      <c r="HO5" t="e">
        <f>'Energy Savings - GJ'!N19+"Tgo!4v"</f>
        <v>#VALUE!</v>
      </c>
      <c r="HP5" t="e">
        <f>'Energy Savings - GJ'!C20+"Tgo!4w"</f>
        <v>#VALUE!</v>
      </c>
      <c r="HQ5" t="e">
        <f>'Energy Savings - GJ'!D20+"Tgo!4x"</f>
        <v>#VALUE!</v>
      </c>
      <c r="HR5" t="e">
        <f>'Energy Savings - GJ'!M20+"Tgo!4y"</f>
        <v>#VALUE!</v>
      </c>
      <c r="HS5" t="e">
        <f>'Energy Savings - GJ'!N20+"Tgo!4z"</f>
        <v>#VALUE!</v>
      </c>
      <c r="HT5" t="e">
        <f>'Energy Savings - GJ'!C21+"Tgo!4{"</f>
        <v>#VALUE!</v>
      </c>
      <c r="HU5" t="e">
        <f>'Energy Savings - GJ'!D21+"Tgo!4|"</f>
        <v>#VALUE!</v>
      </c>
      <c r="HV5" t="e">
        <f>'Energy Savings - GJ'!M21+"Tgo!4}"</f>
        <v>#VALUE!</v>
      </c>
      <c r="HW5" t="e">
        <f>'Energy Savings - GJ'!N21+"Tgo!4~"</f>
        <v>#VALUE!</v>
      </c>
      <c r="HX5" t="e">
        <f>'Energy Savings - GJ'!B23+"Tgo!5#"</f>
        <v>#VALUE!</v>
      </c>
      <c r="HY5" s="27" t="e">
        <f>'Energy Savings - GJ'!C23+"Tgo!5$"</f>
        <v>#VALUE!</v>
      </c>
      <c r="HZ5" t="e">
        <f>'Energy Savings - GJ'!D23+"Tgo!5%"</f>
        <v>#VALUE!</v>
      </c>
      <c r="IA5" t="e">
        <f>'Energy Savings - GJ'!L23+"Tgo!5&amp;"</f>
        <v>#VALUE!</v>
      </c>
      <c r="IB5" s="27" t="e">
        <f>'Energy Savings - GJ'!M23+"Tgo!5'"</f>
        <v>#VALUE!</v>
      </c>
      <c r="IC5" t="e">
        <f>'Energy Savings - GJ'!N23+"Tgo!5("</f>
        <v>#VALUE!</v>
      </c>
      <c r="ID5" t="e">
        <f>'Energy Savings - GJ'!B25+"Tgo!5)"</f>
        <v>#VALUE!</v>
      </c>
      <c r="IE5" t="e">
        <f>'Energy Savings - GJ'!C25+"Tgo!5."</f>
        <v>#VALUE!</v>
      </c>
      <c r="IF5" t="e">
        <f>'Energy Savings - GJ'!D25+"Tgo!5/"</f>
        <v>#VALUE!</v>
      </c>
      <c r="IG5" t="e">
        <f>'Energy Savings - GJ'!L25+"Tgo!50"</f>
        <v>#VALUE!</v>
      </c>
      <c r="IH5" t="e">
        <f>'Energy Savings - GJ'!M25+"Tgo!51"</f>
        <v>#VALUE!</v>
      </c>
      <c r="II5" t="e">
        <f>'Energy Savings - GJ'!N25+"Tgo!52"</f>
        <v>#VALUE!</v>
      </c>
      <c r="IJ5" s="27" t="e">
        <f>'Energy Savings - GJ'!C26+"Tgo!53"</f>
        <v>#VALUE!</v>
      </c>
      <c r="IK5" t="e">
        <f>'Energy Savings - GJ'!D26+"Tgo!54"</f>
        <v>#VALUE!</v>
      </c>
      <c r="IL5" s="27" t="e">
        <f>'Energy Savings - GJ'!M26+"Tgo!55"</f>
        <v>#VALUE!</v>
      </c>
      <c r="IM5" t="e">
        <f>'Energy Savings - GJ'!N26+"Tgo!56"</f>
        <v>#VALUE!</v>
      </c>
      <c r="IN5" t="e">
        <f>'Energy Savings - GJ'!C27+"Tgo!57"</f>
        <v>#VALUE!</v>
      </c>
      <c r="IO5" t="e">
        <f>'Energy Savings - GJ'!D27+"Tgo!58"</f>
        <v>#VALUE!</v>
      </c>
      <c r="IP5" t="e">
        <f>'Energy Savings - GJ'!E27+"Tgo!59"</f>
        <v>#VALUE!</v>
      </c>
      <c r="IQ5" t="e">
        <f>'Energy Savings - GJ'!F27+"Tgo!5:"</f>
        <v>#VALUE!</v>
      </c>
      <c r="IR5" t="e">
        <f>'Energy Savings - GJ'!G27+"Tgo!5;"</f>
        <v>#VALUE!</v>
      </c>
      <c r="IS5" t="e">
        <f>'Energy Savings - GJ'!H27+"Tgo!5&lt;"</f>
        <v>#VALUE!</v>
      </c>
      <c r="IT5" t="e">
        <f>'Energy Savings - GJ'!I27+"Tgo!5="</f>
        <v>#VALUE!</v>
      </c>
      <c r="IU5" t="e">
        <f>'Energy Savings - GJ'!J27+"Tgo!5&gt;"</f>
        <v>#VALUE!</v>
      </c>
      <c r="IV5" t="e">
        <f>'Energy Savings - GJ'!K27+"Tgo!5?"</f>
        <v>#VALUE!</v>
      </c>
    </row>
    <row r="6" spans="1:256" x14ac:dyDescent="0.25">
      <c r="F6" t="e">
        <f>'Energy Savings - GJ'!M27+"Tgo!5@"</f>
        <v>#VALUE!</v>
      </c>
      <c r="G6" t="e">
        <f>'Energy Savings - GJ'!N27+"Tgo!5A"</f>
        <v>#VALUE!</v>
      </c>
      <c r="H6" t="e">
        <f>'Energy Savings - GJ'!O27+"Tgo!5B"</f>
        <v>#VALUE!</v>
      </c>
      <c r="I6" t="e">
        <f>'Energy Savings - GJ'!P27+"Tgo!5C"</f>
        <v>#VALUE!</v>
      </c>
      <c r="J6" t="e">
        <f>'Energy Savings - GJ'!Q27+"Tgo!5D"</f>
        <v>#VALUE!</v>
      </c>
      <c r="K6" t="e">
        <f>'Energy Savings - GJ'!R27+"Tgo!5E"</f>
        <v>#VALUE!</v>
      </c>
      <c r="L6" t="e">
        <f>'Energy Savings - GJ'!S27+"Tgo!5F"</f>
        <v>#VALUE!</v>
      </c>
      <c r="M6" t="e">
        <f>'Energy Savings - GJ'!T27+"Tgo!5G"</f>
        <v>#VALUE!</v>
      </c>
      <c r="N6" t="e">
        <f>'Energy Savings - GJ'!U27+"Tgo!5H"</f>
        <v>#VALUE!</v>
      </c>
      <c r="O6" t="e">
        <f>'Energy Savings - GJ'!C28+"Tgo!5I"</f>
        <v>#VALUE!</v>
      </c>
      <c r="P6" t="e">
        <f>'Energy Savings - GJ'!D28+"Tgo!5J"</f>
        <v>#VALUE!</v>
      </c>
      <c r="Q6" t="e">
        <f>'Energy Savings - GJ'!E28+"Tgo!5K"</f>
        <v>#VALUE!</v>
      </c>
      <c r="R6" t="e">
        <f>'Energy Savings - GJ'!F28+"Tgo!5L"</f>
        <v>#VALUE!</v>
      </c>
      <c r="S6" t="e">
        <f>'Energy Savings - GJ'!G28+"Tgo!5M"</f>
        <v>#VALUE!</v>
      </c>
      <c r="T6" t="e">
        <f>'Energy Savings - GJ'!H28+"Tgo!5N"</f>
        <v>#VALUE!</v>
      </c>
      <c r="U6" t="e">
        <f>'Energy Savings - GJ'!I28+"Tgo!5O"</f>
        <v>#VALUE!</v>
      </c>
      <c r="V6" t="e">
        <f>'Energy Savings - GJ'!J28+"Tgo!5P"</f>
        <v>#VALUE!</v>
      </c>
      <c r="W6" t="e">
        <f>'Energy Savings - GJ'!K28+"Tgo!5Q"</f>
        <v>#VALUE!</v>
      </c>
      <c r="X6" t="e">
        <f>'Energy Savings - GJ'!M28+"Tgo!5R"</f>
        <v>#VALUE!</v>
      </c>
      <c r="Y6" t="e">
        <f>'Energy Savings - GJ'!N28+"Tgo!5S"</f>
        <v>#VALUE!</v>
      </c>
      <c r="Z6" t="e">
        <f>'Energy Savings - GJ'!O28+"Tgo!5T"</f>
        <v>#VALUE!</v>
      </c>
      <c r="AA6" t="e">
        <f>'Energy Savings - GJ'!P28+"Tgo!5U"</f>
        <v>#VALUE!</v>
      </c>
      <c r="AB6" t="e">
        <f>'Energy Savings - GJ'!Q28+"Tgo!5V"</f>
        <v>#VALUE!</v>
      </c>
      <c r="AC6" t="e">
        <f>'Energy Savings - GJ'!R28+"Tgo!5W"</f>
        <v>#VALUE!</v>
      </c>
      <c r="AD6" t="e">
        <f>'Energy Savings - GJ'!S28+"Tgo!5X"</f>
        <v>#VALUE!</v>
      </c>
      <c r="AE6" t="e">
        <f>'Energy Savings - GJ'!T28+"Tgo!5Y"</f>
        <v>#VALUE!</v>
      </c>
      <c r="AF6" t="e">
        <f>'Energy Savings - GJ'!U28+"Tgo!5Z"</f>
        <v>#VALUE!</v>
      </c>
      <c r="AG6" t="e">
        <f>'Energy Savings - GJ'!A30+"Tgo!5["</f>
        <v>#VALUE!</v>
      </c>
      <c r="AH6" t="e">
        <f>'Energy Savings - GJ'!A32+"Tgo!5\"</f>
        <v>#VALUE!</v>
      </c>
      <c r="AI6" t="e">
        <f>'Energy Savings - GJ'!B32+"Tgo!5]"</f>
        <v>#VALUE!</v>
      </c>
      <c r="AJ6" t="e">
        <f>'Energy Savings - GJ'!A33+"Tgo!5^"</f>
        <v>#VALUE!</v>
      </c>
      <c r="AK6" t="e">
        <f>'Energy Savings - GJ'!B33+"Tgo!5_"</f>
        <v>#VALUE!</v>
      </c>
      <c r="AL6" t="e">
        <f>'Energy Savings - GJ'!A34+"Tgo!5`"</f>
        <v>#VALUE!</v>
      </c>
      <c r="AM6" t="e">
        <f>'Energy Savings - GJ'!B34+"Tgo!5a"</f>
        <v>#VALUE!</v>
      </c>
      <c r="AN6" t="e">
        <f>'Energy Savings - GJ'!A35+"Tgo!5b"</f>
        <v>#VALUE!</v>
      </c>
      <c r="AO6" t="e">
        <f>'Energy Savings - GJ'!B35+"Tgo!5c"</f>
        <v>#VALUE!</v>
      </c>
      <c r="AP6" t="e">
        <f>'Energy Savings - GJ'!A36+"Tgo!5d"</f>
        <v>#VALUE!</v>
      </c>
      <c r="AQ6" t="e">
        <f>'Energy Savings - GJ'!B36+"Tgo!5e"</f>
        <v>#VALUE!</v>
      </c>
      <c r="AR6" t="e">
        <f>'Energy Savings - GJ'!B38+"Tgo!5f"</f>
        <v>#VALUE!</v>
      </c>
      <c r="AS6" t="e">
        <f>'Energy Savings - GJ'!C38+"Tgo!5g"</f>
        <v>#VALUE!</v>
      </c>
      <c r="AT6" t="e">
        <f>'Energy Savings - GJ'!A39+"Tgo!5h"</f>
        <v>#VALUE!</v>
      </c>
      <c r="AU6" t="e">
        <f>'Energy Savings - GJ'!B39+"Tgo!5i"</f>
        <v>#VALUE!</v>
      </c>
      <c r="AV6" t="e">
        <f>'Energy Savings - GJ'!C39+"Tgo!5j"</f>
        <v>#VALUE!</v>
      </c>
      <c r="AW6" t="e">
        <f>'Energy Savings - GJ'!A40+"Tgo!5k"</f>
        <v>#VALUE!</v>
      </c>
      <c r="AX6" t="e">
        <f>'Energy Savings - GJ'!B40+"Tgo!5l"</f>
        <v>#VALUE!</v>
      </c>
      <c r="AY6" t="e">
        <f>'Energy Savings - GJ'!C40+"Tgo!5m"</f>
        <v>#VALUE!</v>
      </c>
      <c r="AZ6" t="e">
        <f>'Energy Savings - GJ'!A41+"Tgo!5n"</f>
        <v>#VALUE!</v>
      </c>
      <c r="BA6" t="e">
        <f>'Energy Savings - GJ'!B41+"Tgo!5o"</f>
        <v>#VALUE!</v>
      </c>
      <c r="BB6" t="e">
        <f>'Energy Savings - GJ'!C41+"Tgo!5p"</f>
        <v>#VALUE!</v>
      </c>
      <c r="BC6" t="e">
        <f>'Energy Savings - GJ'!A42+"Tgo!5q"</f>
        <v>#VALUE!</v>
      </c>
      <c r="BD6" t="e">
        <f>'Energy Savings - GJ'!B42+"Tgo!5r"</f>
        <v>#VALUE!</v>
      </c>
      <c r="BE6" t="e">
        <f>'Energy Savings - GJ'!C42+"Tgo!5s"</f>
        <v>#VALUE!</v>
      </c>
      <c r="BF6" t="e">
        <f>'Energy Savings - GJ'!A43+"Tgo!5t"</f>
        <v>#VALUE!</v>
      </c>
      <c r="BG6" t="e">
        <f>'Energy Savings - GJ'!B43+"Tgo!5u"</f>
        <v>#VALUE!</v>
      </c>
      <c r="BH6" t="e">
        <f>'Energy Savings - GJ'!C43+"Tgo!5v"</f>
        <v>#VALUE!</v>
      </c>
      <c r="BI6" t="e">
        <f>'Energy Savings - GJ'!A44+"Tgo!5w"</f>
        <v>#VALUE!</v>
      </c>
      <c r="BJ6" t="e">
        <f>'Energy Savings - GJ'!B44+"Tgo!5x"</f>
        <v>#VALUE!</v>
      </c>
      <c r="BK6" t="e">
        <f>'Energy Savings - GJ'!C44+"Tgo!5y"</f>
        <v>#VALUE!</v>
      </c>
      <c r="BL6" t="e">
        <f>'Energy Savings - GJ'!A45+"Tgo!5z"</f>
        <v>#VALUE!</v>
      </c>
      <c r="BM6" t="e">
        <f>'Energy Savings - GJ'!B45+"Tgo!5{"</f>
        <v>#VALUE!</v>
      </c>
      <c r="BN6" t="e">
        <f>'Energy Savings - GJ'!C45+"Tgo!5|"</f>
        <v>#VALUE!</v>
      </c>
      <c r="BO6" t="e">
        <f>'Energy Savings - GJ'!A46+"Tgo!5}"</f>
        <v>#VALUE!</v>
      </c>
      <c r="BP6" t="e">
        <f>'Energy Savings - GJ'!B46+"Tgo!5~"</f>
        <v>#VALUE!</v>
      </c>
      <c r="BQ6" t="e">
        <f>'Energy Savings - GJ'!C46+"Tgo!6#"</f>
        <v>#VALUE!</v>
      </c>
      <c r="BR6" t="e">
        <f>'Energy Savings - GJ'!A47+"Tgo!6$"</f>
        <v>#VALUE!</v>
      </c>
      <c r="BS6" t="e">
        <f>'Energy Savings - GJ'!B47+"Tgo!6%"</f>
        <v>#VALUE!</v>
      </c>
      <c r="BT6" t="e">
        <f>'Energy Savings - GJ'!C47+"Tgo!6&amp;"</f>
        <v>#VALUE!</v>
      </c>
      <c r="BU6" t="e">
        <f>'Energy Savings - GJ'!A48+"Tgo!6'"</f>
        <v>#VALUE!</v>
      </c>
      <c r="BV6" t="e">
        <f>'Energy Savings - GJ'!B48+"Tgo!6("</f>
        <v>#VALUE!</v>
      </c>
      <c r="BW6" t="e">
        <f>'Energy Savings - GJ'!C48+"Tgo!6)"</f>
        <v>#VALUE!</v>
      </c>
      <c r="BX6" t="e">
        <f>'Energy Savings - GJ'!A49+"Tgo!6."</f>
        <v>#VALUE!</v>
      </c>
      <c r="BY6" t="e">
        <f>'Energy Savings - GJ'!B49+"Tgo!6/"</f>
        <v>#VALUE!</v>
      </c>
      <c r="BZ6" t="e">
        <f>'Energy Savings - GJ'!C49+"Tgo!60"</f>
        <v>#VALUE!</v>
      </c>
      <c r="CA6" t="e">
        <f>'Energy Savings - GJ'!A50+"Tgo!61"</f>
        <v>#VALUE!</v>
      </c>
      <c r="CB6" t="e">
        <f>'Energy Savings - GJ'!B50+"Tgo!62"</f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Capital Cost</vt:lpstr>
      <vt:lpstr>Energy Savings - Kwh</vt:lpstr>
      <vt:lpstr>Energy Savings - GJ</vt:lpstr>
    </vt:vector>
  </TitlesOfParts>
  <Company>BCIT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Hebert</dc:creator>
  <cp:lastModifiedBy>Vanesa Alzate</cp:lastModifiedBy>
  <dcterms:created xsi:type="dcterms:W3CDTF">2016-09-19T19:36:28Z</dcterms:created>
  <dcterms:modified xsi:type="dcterms:W3CDTF">2017-02-07T21:25:58Z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ive_LatestUserAccountName">
    <vt:lpwstr>valzaterestrepo</vt:lpwstr>
  </property>
  <property fmtid="{D5CDD505-2E9C-101B-9397-08002B2CF9AE}" pid="3" name="Jive_VersionGuid">
    <vt:lpwstr>8f42a82013224d86be34f27808ca387a</vt:lpwstr>
  </property>
  <property fmtid="{D5CDD505-2E9C-101B-9397-08002B2CF9AE}" pid="4" name="Offisync_UpdateToken">
    <vt:lpwstr>4</vt:lpwstr>
  </property>
  <property fmtid="{D5CDD505-2E9C-101B-9397-08002B2CF9AE}" pid="5" name="Offisync_UniqueId">
    <vt:lpwstr>14161</vt:lpwstr>
  </property>
  <property fmtid="{D5CDD505-2E9C-101B-9397-08002B2CF9AE}" pid="6" name="Offisync_ServerID">
    <vt:lpwstr>f2d55312-dfed-48f4-afdb-1d318f57f848</vt:lpwstr>
  </property>
  <property fmtid="{D5CDD505-2E9C-101B-9397-08002B2CF9AE}" pid="7" name="Offisync_ProviderInitializationData">
    <vt:lpwstr>https://loop.bcit.ca</vt:lpwstr>
  </property>
  <property fmtid="{D5CDD505-2E9C-101B-9397-08002B2CF9AE}" pid="8" name="Jive_PrevVersionNumber">
    <vt:lpwstr/>
  </property>
  <property fmtid="{D5CDD505-2E9C-101B-9397-08002B2CF9AE}" pid="9" name="Jive_VersionGuid_v2.5">
    <vt:lpwstr/>
  </property>
  <property fmtid="{D5CDD505-2E9C-101B-9397-08002B2CF9AE}" pid="10" name="Jive_LatestFileFullName">
    <vt:lpwstr/>
  </property>
  <property fmtid="{D5CDD505-2E9C-101B-9397-08002B2CF9AE}" pid="11" name="Jive_ModifiedButNotPublished">
    <vt:lpwstr/>
  </property>
</Properties>
</file>