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40" windowWidth="23640" windowHeight="11430"/>
  </bookViews>
  <sheets>
    <sheet name="Natural Gas" sheetId="1" r:id="rId1"/>
    <sheet name="Electricity" sheetId="2" r:id="rId2"/>
    <sheet name="Total Energy" sheetId="3" r:id="rId3"/>
  </sheets>
  <calcPr calcId="145621"/>
</workbook>
</file>

<file path=xl/calcChain.xml><?xml version="1.0" encoding="utf-8"?>
<calcChain xmlns="http://schemas.openxmlformats.org/spreadsheetml/2006/main">
  <c r="A27" i="3" l="1"/>
  <c r="A26" i="3"/>
  <c r="E17" i="3"/>
  <c r="E12" i="3"/>
  <c r="A14" i="3"/>
  <c r="E7" i="3"/>
  <c r="A7" i="3"/>
  <c r="A12" i="3"/>
  <c r="A11" i="3"/>
  <c r="A13" i="3" s="1"/>
  <c r="A6" i="3"/>
  <c r="A5" i="3"/>
  <c r="A17" i="3" s="1"/>
  <c r="K78" i="1"/>
  <c r="B47" i="2"/>
  <c r="B46" i="2"/>
  <c r="B43" i="2"/>
  <c r="B45" i="2" s="1"/>
  <c r="B21" i="2"/>
  <c r="F77" i="1"/>
  <c r="K77" i="1"/>
  <c r="J77" i="1"/>
  <c r="K76" i="1"/>
  <c r="J76" i="1"/>
  <c r="K75" i="1"/>
  <c r="K74" i="1"/>
  <c r="K73" i="1"/>
  <c r="K72" i="1"/>
  <c r="K71" i="1"/>
  <c r="K70" i="1"/>
  <c r="K69" i="1"/>
  <c r="K68" i="1"/>
  <c r="K67" i="1"/>
  <c r="K66" i="1"/>
  <c r="K65" i="1"/>
  <c r="J75" i="1"/>
  <c r="J74" i="1"/>
  <c r="J73" i="1"/>
  <c r="J72" i="1"/>
  <c r="J71" i="1"/>
  <c r="J70" i="1"/>
  <c r="J69" i="1"/>
  <c r="J68" i="1"/>
  <c r="J67" i="1"/>
  <c r="J66" i="1"/>
  <c r="J65" i="1"/>
  <c r="K64" i="1"/>
  <c r="J64" i="1"/>
  <c r="F75" i="1"/>
  <c r="F74" i="1"/>
  <c r="F73" i="1"/>
  <c r="F72" i="1"/>
  <c r="F71" i="1"/>
  <c r="F70" i="1"/>
  <c r="I75" i="1"/>
  <c r="I74" i="1"/>
  <c r="I73" i="1"/>
  <c r="I72" i="1"/>
  <c r="I71" i="1"/>
  <c r="I70" i="1"/>
  <c r="I69" i="1"/>
  <c r="I68" i="1"/>
  <c r="I67" i="1"/>
  <c r="I66" i="1"/>
  <c r="I65" i="1"/>
  <c r="I64" i="1"/>
  <c r="K56" i="1"/>
  <c r="J54" i="1"/>
  <c r="K54" i="1" s="1"/>
  <c r="J53" i="1"/>
  <c r="K53" i="1" s="1"/>
  <c r="J52" i="1"/>
  <c r="K52" i="1" s="1"/>
  <c r="J51" i="1"/>
  <c r="K51" i="1" s="1"/>
  <c r="J50" i="1"/>
  <c r="K50" i="1" s="1"/>
  <c r="K49" i="1"/>
  <c r="I56" i="1"/>
  <c r="H56" i="1"/>
  <c r="I55" i="1"/>
  <c r="H55" i="1"/>
  <c r="I36" i="1"/>
  <c r="H36" i="1"/>
  <c r="I35" i="1"/>
  <c r="H35" i="1"/>
  <c r="J49" i="1"/>
  <c r="I54" i="1"/>
  <c r="I53" i="1"/>
  <c r="I52" i="1"/>
  <c r="I51" i="1"/>
  <c r="I50" i="1"/>
  <c r="I49" i="1"/>
  <c r="I34" i="1"/>
  <c r="I33" i="1"/>
  <c r="I32" i="1"/>
  <c r="I31" i="1"/>
  <c r="I30" i="1"/>
  <c r="I27" i="1"/>
  <c r="I28" i="1"/>
  <c r="I29" i="1"/>
  <c r="I26" i="1"/>
  <c r="I25" i="1"/>
  <c r="I24" i="1"/>
  <c r="I23" i="1"/>
  <c r="F56" i="1"/>
  <c r="F57" i="1"/>
  <c r="F37" i="1"/>
  <c r="F20" i="1"/>
  <c r="F55" i="1"/>
  <c r="F36" i="1"/>
  <c r="F35" i="1"/>
  <c r="F19" i="1"/>
  <c r="F18" i="1"/>
  <c r="A19" i="3" l="1"/>
  <c r="A32" i="3" s="1"/>
  <c r="A20" i="3"/>
  <c r="A33" i="3" s="1"/>
  <c r="A18" i="3"/>
  <c r="A8" i="3"/>
</calcChain>
</file>

<file path=xl/sharedStrings.xml><?xml version="1.0" encoding="utf-8"?>
<sst xmlns="http://schemas.openxmlformats.org/spreadsheetml/2006/main" count="295" uniqueCount="55">
  <si>
    <t>Meter Name</t>
  </si>
  <si>
    <t>Meter Type</t>
  </si>
  <si>
    <t>Reading Start</t>
  </si>
  <si>
    <t>Reading End</t>
  </si>
  <si>
    <t>Reading Length</t>
  </si>
  <si>
    <t>Consumption</t>
  </si>
  <si>
    <t>Units</t>
  </si>
  <si>
    <t>Submeter-GAS-NE08</t>
  </si>
  <si>
    <t>Natural Gas</t>
  </si>
  <si>
    <t>GJ</t>
  </si>
  <si>
    <t>Total:</t>
  </si>
  <si>
    <t>N:</t>
  </si>
  <si>
    <t>Data excluded as during construction</t>
  </si>
  <si>
    <t>Average:</t>
  </si>
  <si>
    <t>HDD at 15.5C
[partially corrected for reading period]</t>
  </si>
  <si>
    <t>n/a</t>
  </si>
  <si>
    <t>Equation parameters:</t>
  </si>
  <si>
    <t>x:</t>
  </si>
  <si>
    <t>b:</t>
  </si>
  <si>
    <t>Predicted GJ</t>
  </si>
  <si>
    <t>Savings in GJ</t>
  </si>
  <si>
    <t>HDD at 15.5C*</t>
  </si>
  <si>
    <t>* Generated with degreedays.net</t>
  </si>
  <si>
    <t>Simulation of a full year post-retrofit</t>
  </si>
  <si>
    <t>Measurement and Verification</t>
  </si>
  <si>
    <t>Welding Ventilation Energy Efficient Upgrade</t>
  </si>
  <si>
    <t>Electricity</t>
  </si>
  <si>
    <t>Timestamp</t>
  </si>
  <si>
    <t>Electricity (kWh)</t>
  </si>
  <si>
    <t>Note: a QA test will be needed to verify amount of missing data at the 15 min. intervals used to create the montly data.</t>
  </si>
  <si>
    <t>Average Monthly Savings:</t>
  </si>
  <si>
    <t>Average Annual Savings</t>
  </si>
  <si>
    <t>kWh</t>
  </si>
  <si>
    <t>Total Energy Savings</t>
  </si>
  <si>
    <t>Rates Assumptions:</t>
  </si>
  <si>
    <t>$/GJ</t>
  </si>
  <si>
    <t>(including all fees + carbon tax + carbon offset)</t>
  </si>
  <si>
    <t>Average 2014 cost of natural gas - North Campus Account</t>
  </si>
  <si>
    <t>Average 2019 cost of natural gas - North Campus Account</t>
  </si>
  <si>
    <t>$/kWh</t>
  </si>
  <si>
    <t>kWh/yr</t>
  </si>
  <si>
    <t>GJ/yr</t>
  </si>
  <si>
    <t>2014 $/yr</t>
  </si>
  <si>
    <t>2019 $/yr</t>
  </si>
  <si>
    <t>Estimates for demand savings:</t>
  </si>
  <si>
    <t>kW</t>
  </si>
  <si>
    <t>Total Cost Savings</t>
  </si>
  <si>
    <t>Average 2014 cost of electricity</t>
  </si>
  <si>
    <t>Average 2019 cost of electricity</t>
  </si>
  <si>
    <t>Average 2014 cost of electricity demand</t>
  </si>
  <si>
    <t>Average 2019 cost of electricity demand</t>
  </si>
  <si>
    <t>$/kW</t>
  </si>
  <si>
    <t>(to be verified)</t>
  </si>
  <si>
    <t>Note: savings are higher in year 1 all 100% of reduced kWh fall in part 2 of the conservation rate (based on 3 year rolling average, 100% of reduced kWh will fall in part 1 after 3 years of operations.</t>
  </si>
  <si>
    <t>Note: there is no cooling in NE8.  Heating is 100% natural gas. No need for regression analysis kWh vs HDD or CDD,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</si>
</sst>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\ hh:mm"/>
    <numFmt numFmtId="165" formatCode="0.000"/>
  </numFmts>
  <fonts count="7">
    <font>
      <sz val="11"/>
      <name val="Calibri"/>
    </font>
    <font>
      <sz val="11"/>
      <name val="Calibri"/>
      <family val="2"/>
    </font>
    <font>
      <strike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trike/>
      <sz val="11"/>
      <color theme="1"/>
      <name val="Calibri"/>
      <family val="2"/>
      <scheme val="minor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4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1" fillId="0" borderId="0" xfId="0" applyFont="1"/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4" fontId="0" fillId="3" borderId="0" xfId="0" applyNumberFormat="1" applyFill="1" applyAlignment="1">
      <alignment horizontal="center"/>
    </xf>
    <xf numFmtId="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3" fillId="0" borderId="0" xfId="0" applyFont="1" applyAlignment="1">
      <alignment horizontal="center" vertical="center"/>
    </xf>
    <xf numFmtId="4" fontId="0" fillId="4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vertical="center" wrapText="1"/>
    </xf>
    <xf numFmtId="22" fontId="1" fillId="0" borderId="0" xfId="0" applyNumberFormat="1" applyFont="1" applyAlignment="1">
      <alignment horizontal="right"/>
    </xf>
    <xf numFmtId="22" fontId="0" fillId="0" borderId="0" xfId="0" applyNumberFormat="1" applyAlignment="1">
      <alignment horizontal="center"/>
    </xf>
    <xf numFmtId="22" fontId="5" fillId="0" borderId="0" xfId="0" applyNumberFormat="1" applyFont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1" xfId="0" applyFont="1" applyBorder="1"/>
    <xf numFmtId="0" fontId="1" fillId="0" borderId="0" xfId="0" applyFont="1" applyBorder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165" fontId="0" fillId="0" borderId="3" xfId="0" applyNumberFormat="1" applyBorder="1"/>
    <xf numFmtId="165" fontId="0" fillId="0" borderId="1" xfId="0" applyNumberFormat="1" applyBorder="1"/>
    <xf numFmtId="0" fontId="1" fillId="2" borderId="0" xfId="0" applyFont="1" applyFill="1"/>
    <xf numFmtId="0" fontId="0" fillId="2" borderId="0" xfId="0" applyFill="1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2012 [before retrofit]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50800">
              <a:solidFill>
                <a:schemeClr val="accent1"/>
              </a:solidFill>
            </a:ln>
          </c:spPr>
          <c:invertIfNegative val="0"/>
          <c:cat>
            <c:numRef>
              <c:f>'Natural Gas'!$D$23:$D$34</c:f>
              <c:numCache>
                <c:formatCode>yyyy\-mm\-dd\ hh:mm</c:formatCode>
                <c:ptCount val="12"/>
                <c:pt idx="0">
                  <c:v>40945.999305555597</c:v>
                </c:pt>
                <c:pt idx="1">
                  <c:v>40969.999305555597</c:v>
                </c:pt>
                <c:pt idx="2">
                  <c:v>41003.999305555597</c:v>
                </c:pt>
                <c:pt idx="3">
                  <c:v>41030.999305555597</c:v>
                </c:pt>
                <c:pt idx="4">
                  <c:v>41066.999305555597</c:v>
                </c:pt>
                <c:pt idx="5">
                  <c:v>41094.999305555597</c:v>
                </c:pt>
                <c:pt idx="6">
                  <c:v>41122.999305555597</c:v>
                </c:pt>
                <c:pt idx="7">
                  <c:v>41157.999305555597</c:v>
                </c:pt>
                <c:pt idx="8">
                  <c:v>41183.999305555597</c:v>
                </c:pt>
                <c:pt idx="9">
                  <c:v>41215.999305555597</c:v>
                </c:pt>
                <c:pt idx="10">
                  <c:v>41242.999305555597</c:v>
                </c:pt>
                <c:pt idx="11">
                  <c:v>41277.999305555597</c:v>
                </c:pt>
              </c:numCache>
            </c:numRef>
          </c:cat>
          <c:val>
            <c:numRef>
              <c:f>'Natural Gas'!$F$23:$F$34</c:f>
              <c:numCache>
                <c:formatCode>#,##0.00</c:formatCode>
                <c:ptCount val="12"/>
                <c:pt idx="0">
                  <c:v>1798.8000480000001</c:v>
                </c:pt>
                <c:pt idx="1">
                  <c:v>1146.0899649999999</c:v>
                </c:pt>
                <c:pt idx="2">
                  <c:v>1469.9499510000001</c:v>
                </c:pt>
                <c:pt idx="3">
                  <c:v>743.10998500000005</c:v>
                </c:pt>
                <c:pt idx="4">
                  <c:v>647.79998699999999</c:v>
                </c:pt>
                <c:pt idx="5">
                  <c:v>109.639999</c:v>
                </c:pt>
                <c:pt idx="6">
                  <c:v>0.37</c:v>
                </c:pt>
                <c:pt idx="7">
                  <c:v>0.219999</c:v>
                </c:pt>
                <c:pt idx="8">
                  <c:v>0.97</c:v>
                </c:pt>
                <c:pt idx="9">
                  <c:v>645.22997999999995</c:v>
                </c:pt>
                <c:pt idx="10">
                  <c:v>978.07000700000003</c:v>
                </c:pt>
                <c:pt idx="11">
                  <c:v>1661.8000480000001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40416"/>
        <c:axId val="62142336"/>
      </c:barChart>
      <c:dateAx>
        <c:axId val="62140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Read date</a:t>
                </a:r>
              </a:p>
            </c:rich>
          </c:tx>
          <c:layout/>
          <c:overlay val="0"/>
        </c:title>
        <c:numFmt formatCode="yyyy\-mm\-dd\ hh:mm" sourceLinked="1"/>
        <c:majorTickMark val="out"/>
        <c:minorTickMark val="none"/>
        <c:tickLblPos val="nextTo"/>
        <c:crossAx val="62142336"/>
        <c:crosses val="autoZero"/>
        <c:auto val="1"/>
        <c:lblOffset val="100"/>
        <c:baseTimeUnit val="days"/>
      </c:dateAx>
      <c:valAx>
        <c:axId val="62142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GJ of natural gas</a:t>
                </a:r>
              </a:p>
            </c:rich>
          </c:tx>
          <c:layout/>
          <c:overlay val="0"/>
        </c:title>
        <c:numFmt formatCode="#,##0.00" sourceLinked="1"/>
        <c:majorTickMark val="out"/>
        <c:minorTickMark val="none"/>
        <c:tickLblPos val="nextTo"/>
        <c:crossAx val="62140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2011 [Before Retrofit]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50800">
              <a:solidFill>
                <a:schemeClr val="accent1"/>
              </a:solidFill>
            </a:ln>
          </c:spPr>
          <c:invertIfNegative val="0"/>
          <c:cat>
            <c:numRef>
              <c:f>'Natural Gas'!$D$6:$D$17</c:f>
              <c:numCache>
                <c:formatCode>yyyy\-mm\-dd\ hh:mm</c:formatCode>
                <c:ptCount val="12"/>
                <c:pt idx="0">
                  <c:v>40576.999305555597</c:v>
                </c:pt>
                <c:pt idx="1">
                  <c:v>40603.999305555597</c:v>
                </c:pt>
                <c:pt idx="2">
                  <c:v>40634.999305555597</c:v>
                </c:pt>
                <c:pt idx="3">
                  <c:v>40666.999305555597</c:v>
                </c:pt>
                <c:pt idx="4">
                  <c:v>40697.999305555597</c:v>
                </c:pt>
                <c:pt idx="5">
                  <c:v>40730.999305555597</c:v>
                </c:pt>
                <c:pt idx="6">
                  <c:v>40760.999305555597</c:v>
                </c:pt>
                <c:pt idx="7">
                  <c:v>40788.999305555597</c:v>
                </c:pt>
                <c:pt idx="8">
                  <c:v>40820.999305555597</c:v>
                </c:pt>
                <c:pt idx="9">
                  <c:v>40862.999305555597</c:v>
                </c:pt>
                <c:pt idx="10">
                  <c:v>40889.999305555597</c:v>
                </c:pt>
                <c:pt idx="11">
                  <c:v>40913.999305555597</c:v>
                </c:pt>
              </c:numCache>
            </c:numRef>
          </c:cat>
          <c:val>
            <c:numRef>
              <c:f>'Natural Gas'!$F$6:$F$17</c:f>
              <c:numCache>
                <c:formatCode>#,##0.00</c:formatCode>
                <c:ptCount val="12"/>
                <c:pt idx="0">
                  <c:v>1425</c:v>
                </c:pt>
                <c:pt idx="1">
                  <c:v>1568</c:v>
                </c:pt>
                <c:pt idx="2">
                  <c:v>1488</c:v>
                </c:pt>
                <c:pt idx="3">
                  <c:v>1372.8199460000001</c:v>
                </c:pt>
                <c:pt idx="4">
                  <c:v>725.13000399999999</c:v>
                </c:pt>
                <c:pt idx="5">
                  <c:v>61.209999000000003</c:v>
                </c:pt>
                <c:pt idx="6">
                  <c:v>16.87</c:v>
                </c:pt>
                <c:pt idx="7">
                  <c:v>11.47</c:v>
                </c:pt>
                <c:pt idx="8">
                  <c:v>55.580001000000003</c:v>
                </c:pt>
                <c:pt idx="9">
                  <c:v>1083.540039</c:v>
                </c:pt>
                <c:pt idx="10">
                  <c:v>1488.8599850000001</c:v>
                </c:pt>
                <c:pt idx="11">
                  <c:v>1276.910034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75104"/>
        <c:axId val="62177280"/>
      </c:barChart>
      <c:dateAx>
        <c:axId val="6217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Read Date</a:t>
                </a:r>
              </a:p>
            </c:rich>
          </c:tx>
          <c:layout/>
          <c:overlay val="0"/>
        </c:title>
        <c:numFmt formatCode="yyyy\-mm\-dd\ hh:mm" sourceLinked="1"/>
        <c:majorTickMark val="out"/>
        <c:minorTickMark val="none"/>
        <c:tickLblPos val="nextTo"/>
        <c:crossAx val="62177280"/>
        <c:crosses val="autoZero"/>
        <c:auto val="1"/>
        <c:lblOffset val="100"/>
        <c:baseTimeUnit val="days"/>
      </c:dateAx>
      <c:valAx>
        <c:axId val="62177280"/>
        <c:scaling>
          <c:orientation val="minMax"/>
          <c:max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GJ f natural gas</a:t>
                </a:r>
              </a:p>
            </c:rich>
          </c:tx>
          <c:layout/>
          <c:overlay val="0"/>
        </c:title>
        <c:numFmt formatCode="#,##0.00" sourceLinked="1"/>
        <c:majorTickMark val="out"/>
        <c:minorTickMark val="none"/>
        <c:tickLblPos val="nextTo"/>
        <c:crossAx val="62175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2013-14 [after retrofit]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50800">
              <a:solidFill>
                <a:schemeClr val="accent1"/>
              </a:solidFill>
            </a:ln>
          </c:spPr>
          <c:invertIfNegative val="0"/>
          <c:cat>
            <c:numRef>
              <c:f>'Natural Gas'!$D$49:$D$54</c:f>
              <c:numCache>
                <c:formatCode>yyyy\-mm\-dd\ hh:mm</c:formatCode>
                <c:ptCount val="6"/>
                <c:pt idx="0">
                  <c:v>41548.999305555597</c:v>
                </c:pt>
                <c:pt idx="1">
                  <c:v>41583.999305555597</c:v>
                </c:pt>
                <c:pt idx="2">
                  <c:v>41610.999305555597</c:v>
                </c:pt>
                <c:pt idx="3">
                  <c:v>41645.999305555597</c:v>
                </c:pt>
                <c:pt idx="4">
                  <c:v>41673.999305555597</c:v>
                </c:pt>
                <c:pt idx="5">
                  <c:v>41702.999305555597</c:v>
                </c:pt>
              </c:numCache>
            </c:numRef>
          </c:cat>
          <c:val>
            <c:numRef>
              <c:f>'Natural Gas'!$F$49:$F$54</c:f>
              <c:numCache>
                <c:formatCode>#,##0.00</c:formatCode>
                <c:ptCount val="6"/>
                <c:pt idx="0">
                  <c:v>57.669998</c:v>
                </c:pt>
                <c:pt idx="1">
                  <c:v>369.4</c:v>
                </c:pt>
                <c:pt idx="2">
                  <c:v>399.44000199999999</c:v>
                </c:pt>
                <c:pt idx="3">
                  <c:v>529.92999999999995</c:v>
                </c:pt>
                <c:pt idx="4">
                  <c:v>450.92999200000003</c:v>
                </c:pt>
                <c:pt idx="5">
                  <c:v>432.76000900000003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14144"/>
        <c:axId val="62216064"/>
      </c:barChart>
      <c:dateAx>
        <c:axId val="6221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Read date</a:t>
                </a:r>
              </a:p>
            </c:rich>
          </c:tx>
          <c:overlay val="0"/>
        </c:title>
        <c:numFmt formatCode="yyyy\-mm\-dd\ hh:mm" sourceLinked="1"/>
        <c:majorTickMark val="out"/>
        <c:minorTickMark val="none"/>
        <c:tickLblPos val="nextTo"/>
        <c:crossAx val="62216064"/>
        <c:crosses val="autoZero"/>
        <c:auto val="1"/>
        <c:lblOffset val="100"/>
        <c:baseTimeUnit val="days"/>
      </c:dateAx>
      <c:valAx>
        <c:axId val="62216064"/>
        <c:scaling>
          <c:orientation val="minMax"/>
          <c:max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GJ of natural gas</a:t>
                </a:r>
              </a:p>
            </c:rich>
          </c:tx>
          <c:overlay val="0"/>
        </c:title>
        <c:numFmt formatCode="#,##0.00" sourceLinked="1"/>
        <c:majorTickMark val="out"/>
        <c:minorTickMark val="none"/>
        <c:tickLblPos val="nextTo"/>
        <c:crossAx val="62214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Regression Analysis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Series1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'Natural Gas'!$I$23:$I$34</c:f>
              <c:numCache>
                <c:formatCode>#,##0</c:formatCode>
                <c:ptCount val="12"/>
                <c:pt idx="0">
                  <c:v>381.93548387096774</c:v>
                </c:pt>
                <c:pt idx="1">
                  <c:v>263.14285714285717</c:v>
                </c:pt>
                <c:pt idx="2">
                  <c:v>332.32258064516128</c:v>
                </c:pt>
                <c:pt idx="3">
                  <c:v>162</c:v>
                </c:pt>
                <c:pt idx="4">
                  <c:v>125.41935483870968</c:v>
                </c:pt>
                <c:pt idx="5">
                  <c:v>52.266666666666666</c:v>
                </c:pt>
                <c:pt idx="6">
                  <c:v>11.741935483870968</c:v>
                </c:pt>
                <c:pt idx="7">
                  <c:v>7.903225806451613</c:v>
                </c:pt>
                <c:pt idx="8">
                  <c:v>33.799999999999997</c:v>
                </c:pt>
                <c:pt idx="9">
                  <c:v>164.12903225806451</c:v>
                </c:pt>
                <c:pt idx="10">
                  <c:v>219.6</c:v>
                </c:pt>
                <c:pt idx="11">
                  <c:v>386.12903225806451</c:v>
                </c:pt>
              </c:numCache>
            </c:numRef>
          </c:xVal>
          <c:yVal>
            <c:numRef>
              <c:f>'Natural Gas'!$F$23:$F$34</c:f>
              <c:numCache>
                <c:formatCode>#,##0.00</c:formatCode>
                <c:ptCount val="12"/>
                <c:pt idx="0">
                  <c:v>1798.8000480000001</c:v>
                </c:pt>
                <c:pt idx="1">
                  <c:v>1146.0899649999999</c:v>
                </c:pt>
                <c:pt idx="2">
                  <c:v>1469.9499510000001</c:v>
                </c:pt>
                <c:pt idx="3">
                  <c:v>743.10998500000005</c:v>
                </c:pt>
                <c:pt idx="4">
                  <c:v>647.79998699999999</c:v>
                </c:pt>
                <c:pt idx="5">
                  <c:v>109.639999</c:v>
                </c:pt>
                <c:pt idx="6">
                  <c:v>0.37</c:v>
                </c:pt>
                <c:pt idx="7">
                  <c:v>0.219999</c:v>
                </c:pt>
                <c:pt idx="8">
                  <c:v>0.97</c:v>
                </c:pt>
                <c:pt idx="9">
                  <c:v>645.22997999999995</c:v>
                </c:pt>
                <c:pt idx="10">
                  <c:v>978.07000700000003</c:v>
                </c:pt>
                <c:pt idx="11">
                  <c:v>1661.8000480000001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29120"/>
        <c:axId val="62231296"/>
      </c:scatterChart>
      <c:valAx>
        <c:axId val="6222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HDD at 15.5C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62231296"/>
        <c:crosses val="autoZero"/>
        <c:crossBetween val="midCat"/>
      </c:valAx>
      <c:valAx>
        <c:axId val="62231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GJ</a:t>
                </a:r>
              </a:p>
            </c:rich>
          </c:tx>
          <c:overlay val="0"/>
        </c:title>
        <c:numFmt formatCode="#,##0.00" sourceLinked="1"/>
        <c:majorTickMark val="out"/>
        <c:minorTickMark val="none"/>
        <c:tickLblPos val="nextTo"/>
        <c:crossAx val="622291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Regression Analysis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'Natural Gas'!$I$49:$I$54</c:f>
              <c:numCache>
                <c:formatCode>#,##0</c:formatCode>
                <c:ptCount val="6"/>
                <c:pt idx="0">
                  <c:v>32.93333333333333</c:v>
                </c:pt>
                <c:pt idx="1">
                  <c:v>216.7741935483871</c:v>
                </c:pt>
                <c:pt idx="2">
                  <c:v>249.3</c:v>
                </c:pt>
                <c:pt idx="3">
                  <c:v>452.74193548387098</c:v>
                </c:pt>
                <c:pt idx="4">
                  <c:v>308.90322580645159</c:v>
                </c:pt>
                <c:pt idx="5">
                  <c:v>377</c:v>
                </c:pt>
              </c:numCache>
            </c:numRef>
          </c:xVal>
          <c:yVal>
            <c:numRef>
              <c:f>'Natural Gas'!$F$49:$F$54</c:f>
              <c:numCache>
                <c:formatCode>#,##0.00</c:formatCode>
                <c:ptCount val="6"/>
                <c:pt idx="0">
                  <c:v>57.669998</c:v>
                </c:pt>
                <c:pt idx="1">
                  <c:v>369.4</c:v>
                </c:pt>
                <c:pt idx="2">
                  <c:v>399.44000199999999</c:v>
                </c:pt>
                <c:pt idx="3">
                  <c:v>529.92999999999995</c:v>
                </c:pt>
                <c:pt idx="4">
                  <c:v>450.92999200000003</c:v>
                </c:pt>
                <c:pt idx="5">
                  <c:v>432.76000900000003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20320"/>
        <c:axId val="64122240"/>
      </c:scatterChart>
      <c:valAx>
        <c:axId val="6412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HDD at 15.5C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64122240"/>
        <c:crosses val="autoZero"/>
        <c:crossBetween val="midCat"/>
      </c:valAx>
      <c:valAx>
        <c:axId val="64122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GJ</a:t>
                </a:r>
              </a:p>
            </c:rich>
          </c:tx>
          <c:overlay val="0"/>
        </c:title>
        <c:numFmt formatCode="#,##0.00" sourceLinked="1"/>
        <c:majorTickMark val="out"/>
        <c:minorTickMark val="none"/>
        <c:tickLblPos val="nextTo"/>
        <c:crossAx val="64120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2012 (pre-retrofit)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Electricity!$A$9:$A$20</c:f>
              <c:numCache>
                <c:formatCode>m/d/yyyy\ h:mm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Electricity!$B$9:$B$20</c:f>
              <c:numCache>
                <c:formatCode>#,##0</c:formatCode>
                <c:ptCount val="12"/>
                <c:pt idx="2">
                  <c:v>101653.46132374</c:v>
                </c:pt>
                <c:pt idx="3">
                  <c:v>122811.26367188001</c:v>
                </c:pt>
                <c:pt idx="4">
                  <c:v>132296.69140625</c:v>
                </c:pt>
                <c:pt idx="5">
                  <c:v>125403.03125</c:v>
                </c:pt>
                <c:pt idx="6">
                  <c:v>117772.671875</c:v>
                </c:pt>
                <c:pt idx="7">
                  <c:v>124968.8515625</c:v>
                </c:pt>
                <c:pt idx="8">
                  <c:v>124257.7265625</c:v>
                </c:pt>
                <c:pt idx="9">
                  <c:v>127301.921875</c:v>
                </c:pt>
                <c:pt idx="10">
                  <c:v>126551.359375</c:v>
                </c:pt>
                <c:pt idx="11">
                  <c:v>118138.5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56416"/>
        <c:axId val="64158336"/>
      </c:barChart>
      <c:dateAx>
        <c:axId val="6415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/d/yyyy\ h:mm" sourceLinked="1"/>
        <c:majorTickMark val="out"/>
        <c:minorTickMark val="none"/>
        <c:tickLblPos val="nextTo"/>
        <c:crossAx val="64158336"/>
        <c:crosses val="autoZero"/>
        <c:auto val="1"/>
        <c:lblOffset val="100"/>
        <c:baseTimeUnit val="months"/>
      </c:dateAx>
      <c:valAx>
        <c:axId val="64158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64156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2013-14 (post retrofit)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Electricity!$A$35:$A$42</c:f>
              <c:numCache>
                <c:formatCode>m/d/yyyy\ h:mm</c:formatCode>
                <c:ptCount val="8"/>
                <c:pt idx="0">
                  <c:v>41518</c:v>
                </c:pt>
                <c:pt idx="1">
                  <c:v>41548</c:v>
                </c:pt>
                <c:pt idx="2">
                  <c:v>41579</c:v>
                </c:pt>
                <c:pt idx="3">
                  <c:v>41609</c:v>
                </c:pt>
                <c:pt idx="4">
                  <c:v>41640</c:v>
                </c:pt>
                <c:pt idx="5">
                  <c:v>41671</c:v>
                </c:pt>
                <c:pt idx="6">
                  <c:v>41699</c:v>
                </c:pt>
                <c:pt idx="7">
                  <c:v>41730</c:v>
                </c:pt>
              </c:numCache>
            </c:numRef>
          </c:cat>
          <c:val>
            <c:numRef>
              <c:f>Electricity!$B$35:$B$42</c:f>
              <c:numCache>
                <c:formatCode>#,##0</c:formatCode>
                <c:ptCount val="8"/>
                <c:pt idx="0">
                  <c:v>48929.75</c:v>
                </c:pt>
                <c:pt idx="1">
                  <c:v>61730.625</c:v>
                </c:pt>
                <c:pt idx="2">
                  <c:v>57381.5625</c:v>
                </c:pt>
                <c:pt idx="3">
                  <c:v>50288.21875</c:v>
                </c:pt>
                <c:pt idx="4">
                  <c:v>53056.75</c:v>
                </c:pt>
                <c:pt idx="5">
                  <c:v>52188.75</c:v>
                </c:pt>
                <c:pt idx="6">
                  <c:v>59266.375</c:v>
                </c:pt>
                <c:pt idx="7">
                  <c:v>52716.15625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39168"/>
        <c:axId val="64057728"/>
      </c:barChart>
      <c:dateAx>
        <c:axId val="6403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/d/yyyy\ h:mm" sourceLinked="1"/>
        <c:majorTickMark val="out"/>
        <c:minorTickMark val="none"/>
        <c:tickLblPos val="nextTo"/>
        <c:crossAx val="64057728"/>
        <c:crosses val="autoZero"/>
        <c:auto val="1"/>
        <c:lblOffset val="100"/>
        <c:baseTimeUnit val="months"/>
      </c:dateAx>
      <c:valAx>
        <c:axId val="64057728"/>
        <c:scaling>
          <c:orientation val="minMax"/>
          <c:max val="14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64039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42862</xdr:colOff>
      <xdr:row>22</xdr:row>
      <xdr:rowOff>123825</xdr:rowOff>
    </xdr:from>
    <xdr:to>
      <xdr:col>19</xdr:col>
      <xdr:colOff>347662</xdr:colOff>
      <xdr:row>38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14287</xdr:colOff>
      <xdr:row>4</xdr:row>
      <xdr:rowOff>295275</xdr:rowOff>
    </xdr:from>
    <xdr:to>
      <xdr:col>19</xdr:col>
      <xdr:colOff>319087</xdr:colOff>
      <xdr:row>19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490537</xdr:colOff>
      <xdr:row>44</xdr:row>
      <xdr:rowOff>85725</xdr:rowOff>
    </xdr:from>
    <xdr:to>
      <xdr:col>19</xdr:col>
      <xdr:colOff>185737</xdr:colOff>
      <xdr:row>58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338137</xdr:colOff>
      <xdr:row>22</xdr:row>
      <xdr:rowOff>47625</xdr:rowOff>
    </xdr:from>
    <xdr:to>
      <xdr:col>28</xdr:col>
      <xdr:colOff>33337</xdr:colOff>
      <xdr:row>36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385762</xdr:colOff>
      <xdr:row>44</xdr:row>
      <xdr:rowOff>76200</xdr:rowOff>
    </xdr:from>
    <xdr:to>
      <xdr:col>28</xdr:col>
      <xdr:colOff>80962</xdr:colOff>
      <xdr:row>58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166687</xdr:colOff>
      <xdr:row>6</xdr:row>
      <xdr:rowOff>180975</xdr:rowOff>
    </xdr:from>
    <xdr:to>
      <xdr:col>12</xdr:col>
      <xdr:colOff>471487</xdr:colOff>
      <xdr:row>21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233362</xdr:colOff>
      <xdr:row>28</xdr:row>
      <xdr:rowOff>57150</xdr:rowOff>
    </xdr:from>
    <xdr:to>
      <xdr:col>12</xdr:col>
      <xdr:colOff>538162</xdr:colOff>
      <xdr:row>42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tabSelected="1" workbookViewId="0">
      <selection activeCell="A4" sqref="A4"/>
    </sheetView>
  </sheetViews>
  <sheetFormatPr defaultRowHeight="15"/>
  <cols>
    <col min="1" max="1" width="19.42578125" style="4" bestFit="1" customWidth="1"/>
    <col min="2" max="2" width="11.28515625" style="4" bestFit="1" customWidth="1"/>
    <col min="3" max="4" width="15.5703125" style="4" bestFit="1" customWidth="1"/>
    <col min="5" max="5" width="14.7109375" style="4" bestFit="1" customWidth="1"/>
    <col min="6" max="6" width="12.85546875" style="4" bestFit="1" customWidth="1"/>
    <col min="7" max="7" width="5.7109375" style="4" bestFit="1" customWidth="1"/>
    <col min="8" max="8" width="15.42578125" customWidth="1"/>
    <col min="9" max="9" width="16.7109375" customWidth="1"/>
    <col min="10" max="10" width="12.42578125" customWidth="1"/>
    <col min="11" max="11" width="16.42578125" customWidth="1"/>
  </cols>
  <sheetData>
    <row r="1" spans="1:9" ht="15.75">
      <c r="A1" s="31" t="s">
        <v>24</v>
      </c>
    </row>
    <row r="2" spans="1:9" ht="15.75">
      <c r="A2" s="31" t="s">
        <v>25</v>
      </c>
    </row>
    <row r="3" spans="1:9" ht="15.75">
      <c r="A3" s="31" t="s">
        <v>8</v>
      </c>
    </row>
    <row r="5" spans="1:9" ht="60">
      <c r="A5" s="18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21</v>
      </c>
      <c r="I5" s="19" t="s">
        <v>14</v>
      </c>
    </row>
    <row r="6" spans="1:9">
      <c r="A6" s="1" t="s">
        <v>7</v>
      </c>
      <c r="B6" s="1" t="s">
        <v>8</v>
      </c>
      <c r="C6" s="2">
        <v>40548</v>
      </c>
      <c r="D6" s="2">
        <v>40576.999305555597</v>
      </c>
      <c r="E6" s="3">
        <v>29</v>
      </c>
      <c r="F6" s="3">
        <v>1425</v>
      </c>
      <c r="G6" s="1" t="s">
        <v>9</v>
      </c>
      <c r="H6" s="20" t="s">
        <v>15</v>
      </c>
      <c r="I6" s="20" t="s">
        <v>15</v>
      </c>
    </row>
    <row r="7" spans="1:9">
      <c r="A7" s="1" t="s">
        <v>7</v>
      </c>
      <c r="B7" s="1" t="s">
        <v>8</v>
      </c>
      <c r="C7" s="2">
        <v>40577</v>
      </c>
      <c r="D7" s="2">
        <v>40603.999305555597</v>
      </c>
      <c r="E7" s="3">
        <v>27</v>
      </c>
      <c r="F7" s="3">
        <v>1568</v>
      </c>
      <c r="G7" s="1" t="s">
        <v>9</v>
      </c>
      <c r="H7" s="20" t="s">
        <v>15</v>
      </c>
      <c r="I7" s="20" t="s">
        <v>15</v>
      </c>
    </row>
    <row r="8" spans="1:9">
      <c r="A8" s="1" t="s">
        <v>7</v>
      </c>
      <c r="B8" s="1" t="s">
        <v>8</v>
      </c>
      <c r="C8" s="2">
        <v>40604</v>
      </c>
      <c r="D8" s="2">
        <v>40634.999305555597</v>
      </c>
      <c r="E8" s="3">
        <v>31</v>
      </c>
      <c r="F8" s="3">
        <v>1488</v>
      </c>
      <c r="G8" s="1" t="s">
        <v>9</v>
      </c>
      <c r="H8" s="20" t="s">
        <v>15</v>
      </c>
      <c r="I8" s="20" t="s">
        <v>15</v>
      </c>
    </row>
    <row r="9" spans="1:9">
      <c r="A9" s="1" t="s">
        <v>7</v>
      </c>
      <c r="B9" s="1" t="s">
        <v>8</v>
      </c>
      <c r="C9" s="2">
        <v>40635</v>
      </c>
      <c r="D9" s="2">
        <v>40666.999305555597</v>
      </c>
      <c r="E9" s="3">
        <v>32</v>
      </c>
      <c r="F9" s="3">
        <v>1372.8199460000001</v>
      </c>
      <c r="G9" s="1" t="s">
        <v>9</v>
      </c>
      <c r="H9" s="20" t="s">
        <v>15</v>
      </c>
      <c r="I9" s="20" t="s">
        <v>15</v>
      </c>
    </row>
    <row r="10" spans="1:9">
      <c r="A10" s="1" t="s">
        <v>7</v>
      </c>
      <c r="B10" s="1" t="s">
        <v>8</v>
      </c>
      <c r="C10" s="2">
        <v>40667</v>
      </c>
      <c r="D10" s="2">
        <v>40697.999305555597</v>
      </c>
      <c r="E10" s="3">
        <v>31</v>
      </c>
      <c r="F10" s="3">
        <v>725.13000399999999</v>
      </c>
      <c r="G10" s="1" t="s">
        <v>9</v>
      </c>
      <c r="H10" s="20" t="s">
        <v>15</v>
      </c>
      <c r="I10" s="20" t="s">
        <v>15</v>
      </c>
    </row>
    <row r="11" spans="1:9">
      <c r="A11" s="1" t="s">
        <v>7</v>
      </c>
      <c r="B11" s="1" t="s">
        <v>8</v>
      </c>
      <c r="C11" s="2">
        <v>40698</v>
      </c>
      <c r="D11" s="2">
        <v>40730.999305555597</v>
      </c>
      <c r="E11" s="3">
        <v>33</v>
      </c>
      <c r="F11" s="3">
        <v>61.209999000000003</v>
      </c>
      <c r="G11" s="1" t="s">
        <v>9</v>
      </c>
      <c r="H11" s="20" t="s">
        <v>15</v>
      </c>
      <c r="I11" s="20" t="s">
        <v>15</v>
      </c>
    </row>
    <row r="12" spans="1:9">
      <c r="A12" s="1" t="s">
        <v>7</v>
      </c>
      <c r="B12" s="1" t="s">
        <v>8</v>
      </c>
      <c r="C12" s="2">
        <v>40731</v>
      </c>
      <c r="D12" s="2">
        <v>40760.999305555597</v>
      </c>
      <c r="E12" s="3">
        <v>30</v>
      </c>
      <c r="F12" s="3">
        <v>16.87</v>
      </c>
      <c r="G12" s="1" t="s">
        <v>9</v>
      </c>
      <c r="H12" s="20" t="s">
        <v>15</v>
      </c>
      <c r="I12" s="20" t="s">
        <v>15</v>
      </c>
    </row>
    <row r="13" spans="1:9">
      <c r="A13" s="1" t="s">
        <v>7</v>
      </c>
      <c r="B13" s="1" t="s">
        <v>8</v>
      </c>
      <c r="C13" s="2">
        <v>40761</v>
      </c>
      <c r="D13" s="2">
        <v>40788.999305555597</v>
      </c>
      <c r="E13" s="3">
        <v>28</v>
      </c>
      <c r="F13" s="3">
        <v>11.47</v>
      </c>
      <c r="G13" s="1" t="s">
        <v>9</v>
      </c>
      <c r="H13" s="20" t="s">
        <v>15</v>
      </c>
      <c r="I13" s="20" t="s">
        <v>15</v>
      </c>
    </row>
    <row r="14" spans="1:9">
      <c r="A14" s="1" t="s">
        <v>7</v>
      </c>
      <c r="B14" s="1" t="s">
        <v>8</v>
      </c>
      <c r="C14" s="2">
        <v>40789</v>
      </c>
      <c r="D14" s="2">
        <v>40820.999305555597</v>
      </c>
      <c r="E14" s="3">
        <v>32</v>
      </c>
      <c r="F14" s="3">
        <v>55.580001000000003</v>
      </c>
      <c r="G14" s="1" t="s">
        <v>9</v>
      </c>
      <c r="H14" s="20" t="s">
        <v>15</v>
      </c>
      <c r="I14" s="20" t="s">
        <v>15</v>
      </c>
    </row>
    <row r="15" spans="1:9">
      <c r="A15" s="1" t="s">
        <v>7</v>
      </c>
      <c r="B15" s="1" t="s">
        <v>8</v>
      </c>
      <c r="C15" s="2">
        <v>40821</v>
      </c>
      <c r="D15" s="2">
        <v>40862.999305555597</v>
      </c>
      <c r="E15" s="3">
        <v>42</v>
      </c>
      <c r="F15" s="3">
        <v>1083.540039</v>
      </c>
      <c r="G15" s="1" t="s">
        <v>9</v>
      </c>
      <c r="H15" s="20" t="s">
        <v>15</v>
      </c>
      <c r="I15" s="20" t="s">
        <v>15</v>
      </c>
    </row>
    <row r="16" spans="1:9">
      <c r="A16" s="1" t="s">
        <v>7</v>
      </c>
      <c r="B16" s="1" t="s">
        <v>8</v>
      </c>
      <c r="C16" s="2">
        <v>40863</v>
      </c>
      <c r="D16" s="2">
        <v>40889.999305555597</v>
      </c>
      <c r="E16" s="3">
        <v>27</v>
      </c>
      <c r="F16" s="3">
        <v>1488.8599850000001</v>
      </c>
      <c r="G16" s="1" t="s">
        <v>9</v>
      </c>
      <c r="H16" s="20" t="s">
        <v>15</v>
      </c>
      <c r="I16" s="20" t="s">
        <v>15</v>
      </c>
    </row>
    <row r="17" spans="1:9">
      <c r="A17" s="1" t="s">
        <v>7</v>
      </c>
      <c r="B17" s="1" t="s">
        <v>8</v>
      </c>
      <c r="C17" s="2">
        <v>40890</v>
      </c>
      <c r="D17" s="2">
        <v>40913.999305555597</v>
      </c>
      <c r="E17" s="3">
        <v>24</v>
      </c>
      <c r="F17" s="3">
        <v>1276.910034</v>
      </c>
      <c r="G17" s="1" t="s">
        <v>9</v>
      </c>
      <c r="H17" s="20" t="s">
        <v>15</v>
      </c>
      <c r="I17" s="20" t="s">
        <v>15</v>
      </c>
    </row>
    <row r="18" spans="1:9">
      <c r="A18" s="1"/>
      <c r="B18" s="1"/>
      <c r="C18" s="2"/>
      <c r="D18" s="2"/>
      <c r="E18" s="6" t="s">
        <v>11</v>
      </c>
      <c r="F18" s="15">
        <f>COUNT(F6:F17)</f>
        <v>12</v>
      </c>
      <c r="G18" s="1"/>
    </row>
    <row r="19" spans="1:9">
      <c r="A19" s="1"/>
      <c r="B19" s="1"/>
      <c r="C19" s="2"/>
      <c r="D19" s="2"/>
      <c r="E19" s="6" t="s">
        <v>10</v>
      </c>
      <c r="F19" s="15">
        <f>SUM(F6:F17)</f>
        <v>10573.390007999998</v>
      </c>
      <c r="G19" s="7" t="s">
        <v>9</v>
      </c>
    </row>
    <row r="20" spans="1:9">
      <c r="A20" s="1"/>
      <c r="B20" s="1"/>
      <c r="C20" s="2"/>
      <c r="D20" s="2"/>
      <c r="E20" s="14" t="s">
        <v>13</v>
      </c>
      <c r="F20" s="15">
        <f>AVERAGE(F6:F17)</f>
        <v>881.11583399999984</v>
      </c>
      <c r="G20" s="7" t="s">
        <v>9</v>
      </c>
    </row>
    <row r="21" spans="1:9">
      <c r="A21" s="1"/>
      <c r="B21" s="1"/>
      <c r="C21" s="2"/>
      <c r="D21" s="2"/>
      <c r="E21" s="14"/>
      <c r="F21" s="15"/>
      <c r="G21" s="7"/>
    </row>
    <row r="22" spans="1:9" ht="60">
      <c r="A22" s="1"/>
      <c r="B22" s="1"/>
      <c r="C22" s="2"/>
      <c r="D22" s="2"/>
      <c r="E22" s="18" t="s">
        <v>4</v>
      </c>
      <c r="F22" s="18" t="s">
        <v>5</v>
      </c>
      <c r="G22" s="18" t="s">
        <v>6</v>
      </c>
      <c r="H22" s="18" t="s">
        <v>21</v>
      </c>
      <c r="I22" s="19" t="s">
        <v>14</v>
      </c>
    </row>
    <row r="23" spans="1:9">
      <c r="A23" s="1" t="s">
        <v>7</v>
      </c>
      <c r="B23" s="1" t="s">
        <v>8</v>
      </c>
      <c r="C23" s="2">
        <v>40914</v>
      </c>
      <c r="D23" s="2">
        <v>40945.999305555597</v>
      </c>
      <c r="E23" s="3">
        <v>32</v>
      </c>
      <c r="F23" s="3">
        <v>1798.8000480000001</v>
      </c>
      <c r="G23" s="1" t="s">
        <v>9</v>
      </c>
      <c r="H23" s="4">
        <v>370</v>
      </c>
      <c r="I23" s="15">
        <f>H23*E23/31</f>
        <v>381.93548387096774</v>
      </c>
    </row>
    <row r="24" spans="1:9">
      <c r="A24" s="1" t="s">
        <v>7</v>
      </c>
      <c r="B24" s="1" t="s">
        <v>8</v>
      </c>
      <c r="C24" s="2">
        <v>40946</v>
      </c>
      <c r="D24" s="2">
        <v>40969.999305555597</v>
      </c>
      <c r="E24" s="3">
        <v>24</v>
      </c>
      <c r="F24" s="3">
        <v>1146.0899649999999</v>
      </c>
      <c r="G24" s="1" t="s">
        <v>9</v>
      </c>
      <c r="H24" s="4">
        <v>307</v>
      </c>
      <c r="I24" s="15">
        <f>H24*E24/28</f>
        <v>263.14285714285717</v>
      </c>
    </row>
    <row r="25" spans="1:9">
      <c r="A25" s="1" t="s">
        <v>7</v>
      </c>
      <c r="B25" s="1" t="s">
        <v>8</v>
      </c>
      <c r="C25" s="2">
        <v>40970</v>
      </c>
      <c r="D25" s="2">
        <v>41003.999305555597</v>
      </c>
      <c r="E25" s="3">
        <v>34</v>
      </c>
      <c r="F25" s="3">
        <v>1469.9499510000001</v>
      </c>
      <c r="G25" s="1" t="s">
        <v>9</v>
      </c>
      <c r="H25" s="4">
        <v>303</v>
      </c>
      <c r="I25" s="15">
        <f>H25*E25/31</f>
        <v>332.32258064516128</v>
      </c>
    </row>
    <row r="26" spans="1:9">
      <c r="A26" s="1" t="s">
        <v>7</v>
      </c>
      <c r="B26" s="1" t="s">
        <v>8</v>
      </c>
      <c r="C26" s="2">
        <v>41004</v>
      </c>
      <c r="D26" s="2">
        <v>41030.999305555597</v>
      </c>
      <c r="E26" s="3">
        <v>27</v>
      </c>
      <c r="F26" s="3">
        <v>743.10998500000005</v>
      </c>
      <c r="G26" s="1" t="s">
        <v>9</v>
      </c>
      <c r="H26" s="4">
        <v>180</v>
      </c>
      <c r="I26" s="15">
        <f>H26*E26/30</f>
        <v>162</v>
      </c>
    </row>
    <row r="27" spans="1:9">
      <c r="A27" s="1" t="s">
        <v>7</v>
      </c>
      <c r="B27" s="1" t="s">
        <v>8</v>
      </c>
      <c r="C27" s="2">
        <v>41031</v>
      </c>
      <c r="D27" s="2">
        <v>41066.999305555597</v>
      </c>
      <c r="E27" s="3">
        <v>36</v>
      </c>
      <c r="F27" s="3">
        <v>647.79998699999999</v>
      </c>
      <c r="G27" s="1" t="s">
        <v>9</v>
      </c>
      <c r="H27" s="4">
        <v>108</v>
      </c>
      <c r="I27" s="15">
        <f t="shared" ref="I27" si="0">H27*E27/31</f>
        <v>125.41935483870968</v>
      </c>
    </row>
    <row r="28" spans="1:9">
      <c r="A28" s="1" t="s">
        <v>7</v>
      </c>
      <c r="B28" s="1" t="s">
        <v>8</v>
      </c>
      <c r="C28" s="2">
        <v>41067</v>
      </c>
      <c r="D28" s="2">
        <v>41094.999305555597</v>
      </c>
      <c r="E28" s="3">
        <v>28</v>
      </c>
      <c r="F28" s="3">
        <v>109.639999</v>
      </c>
      <c r="G28" s="1" t="s">
        <v>9</v>
      </c>
      <c r="H28" s="4">
        <v>56</v>
      </c>
      <c r="I28" s="15">
        <f t="shared" ref="I28" si="1">H28*E28/30</f>
        <v>52.266666666666666</v>
      </c>
    </row>
    <row r="29" spans="1:9">
      <c r="A29" s="1" t="s">
        <v>7</v>
      </c>
      <c r="B29" s="1" t="s">
        <v>8</v>
      </c>
      <c r="C29" s="2">
        <v>41095</v>
      </c>
      <c r="D29" s="2">
        <v>41122.999305555597</v>
      </c>
      <c r="E29" s="3">
        <v>28</v>
      </c>
      <c r="F29" s="16">
        <v>0.37</v>
      </c>
      <c r="G29" s="1" t="s">
        <v>9</v>
      </c>
      <c r="H29" s="4">
        <v>13</v>
      </c>
      <c r="I29" s="15">
        <f t="shared" ref="I29" si="2">H29*E29/31</f>
        <v>11.741935483870968</v>
      </c>
    </row>
    <row r="30" spans="1:9">
      <c r="A30" s="1" t="s">
        <v>7</v>
      </c>
      <c r="B30" s="1" t="s">
        <v>8</v>
      </c>
      <c r="C30" s="2">
        <v>41123</v>
      </c>
      <c r="D30" s="2">
        <v>41157.999305555597</v>
      </c>
      <c r="E30" s="3">
        <v>35</v>
      </c>
      <c r="F30" s="3">
        <v>0.219999</v>
      </c>
      <c r="G30" s="1" t="s">
        <v>9</v>
      </c>
      <c r="H30" s="4">
        <v>7</v>
      </c>
      <c r="I30" s="15">
        <f>H30*E30/31</f>
        <v>7.903225806451613</v>
      </c>
    </row>
    <row r="31" spans="1:9">
      <c r="A31" s="1" t="s">
        <v>7</v>
      </c>
      <c r="B31" s="1" t="s">
        <v>8</v>
      </c>
      <c r="C31" s="2">
        <v>41158</v>
      </c>
      <c r="D31" s="2">
        <v>41183.999305555597</v>
      </c>
      <c r="E31" s="3">
        <v>26</v>
      </c>
      <c r="F31" s="3">
        <v>0.97</v>
      </c>
      <c r="G31" s="1" t="s">
        <v>9</v>
      </c>
      <c r="H31" s="4">
        <v>39</v>
      </c>
      <c r="I31" s="15">
        <f>H31*E31/30</f>
        <v>33.799999999999997</v>
      </c>
    </row>
    <row r="32" spans="1:9">
      <c r="A32" s="1" t="s">
        <v>7</v>
      </c>
      <c r="B32" s="1" t="s">
        <v>8</v>
      </c>
      <c r="C32" s="2">
        <v>41184</v>
      </c>
      <c r="D32" s="2">
        <v>41215.999305555597</v>
      </c>
      <c r="E32" s="3">
        <v>32</v>
      </c>
      <c r="F32" s="3">
        <v>645.22997999999995</v>
      </c>
      <c r="G32" s="1" t="s">
        <v>9</v>
      </c>
      <c r="H32" s="4">
        <v>159</v>
      </c>
      <c r="I32" s="15">
        <f>H32*E32/31</f>
        <v>164.12903225806451</v>
      </c>
    </row>
    <row r="33" spans="1:23">
      <c r="A33" s="1" t="s">
        <v>7</v>
      </c>
      <c r="B33" s="1" t="s">
        <v>8</v>
      </c>
      <c r="C33" s="2">
        <v>41216</v>
      </c>
      <c r="D33" s="2">
        <v>41242.999305555597</v>
      </c>
      <c r="E33" s="3">
        <v>27</v>
      </c>
      <c r="F33" s="3">
        <v>978.07000700000003</v>
      </c>
      <c r="G33" s="1" t="s">
        <v>9</v>
      </c>
      <c r="H33" s="4">
        <v>244</v>
      </c>
      <c r="I33" s="15">
        <f>H33*E33/30</f>
        <v>219.6</v>
      </c>
    </row>
    <row r="34" spans="1:23">
      <c r="A34" s="1" t="s">
        <v>7</v>
      </c>
      <c r="B34" s="1" t="s">
        <v>8</v>
      </c>
      <c r="C34" s="2">
        <v>41243</v>
      </c>
      <c r="D34" s="2">
        <v>41277.999305555597</v>
      </c>
      <c r="E34" s="3">
        <v>35</v>
      </c>
      <c r="F34" s="3">
        <v>1661.8000480000001</v>
      </c>
      <c r="G34" s="1" t="s">
        <v>9</v>
      </c>
      <c r="H34" s="4">
        <v>342</v>
      </c>
      <c r="I34" s="15">
        <f>H34*E34/31</f>
        <v>386.12903225806451</v>
      </c>
    </row>
    <row r="35" spans="1:23">
      <c r="A35" s="1"/>
      <c r="B35" s="1"/>
      <c r="C35" s="2"/>
      <c r="D35" s="2"/>
      <c r="E35" s="6" t="s">
        <v>11</v>
      </c>
      <c r="F35" s="15">
        <f>COUNT(F23:F34)</f>
        <v>12</v>
      </c>
      <c r="G35" s="1"/>
      <c r="H35" s="15">
        <f>COUNT(H23:H34)</f>
        <v>12</v>
      </c>
      <c r="I35" s="15">
        <f>COUNT(I23:I34)</f>
        <v>12</v>
      </c>
    </row>
    <row r="36" spans="1:23">
      <c r="A36" s="1"/>
      <c r="B36" s="1"/>
      <c r="C36" s="2"/>
      <c r="D36" s="2"/>
      <c r="E36" s="6" t="s">
        <v>10</v>
      </c>
      <c r="F36" s="15">
        <f>SUM(F23:F34)</f>
        <v>9202.0499690000015</v>
      </c>
      <c r="G36" s="7" t="s">
        <v>9</v>
      </c>
      <c r="H36" s="15">
        <f>SUM(H23:H34)</f>
        <v>2128</v>
      </c>
      <c r="I36" s="15">
        <f>SUM(I23:I34)</f>
        <v>2140.3901689708141</v>
      </c>
    </row>
    <row r="37" spans="1:23">
      <c r="A37" s="1"/>
      <c r="B37" s="1"/>
      <c r="C37" s="2"/>
      <c r="D37" s="2"/>
      <c r="E37" s="14" t="s">
        <v>13</v>
      </c>
      <c r="F37" s="15">
        <f>AVERAGE(F23:F34)</f>
        <v>766.83749741666679</v>
      </c>
      <c r="G37" s="7" t="s">
        <v>9</v>
      </c>
    </row>
    <row r="38" spans="1:23">
      <c r="A38" s="1"/>
      <c r="B38" s="1"/>
      <c r="C38" s="2"/>
      <c r="D38" s="2"/>
      <c r="E38" s="3"/>
      <c r="F38" s="3"/>
      <c r="G38" s="1"/>
    </row>
    <row r="39" spans="1:23" s="5" customFormat="1">
      <c r="A39" s="8" t="s">
        <v>7</v>
      </c>
      <c r="B39" s="8" t="s">
        <v>8</v>
      </c>
      <c r="C39" s="9">
        <v>41278</v>
      </c>
      <c r="D39" s="9">
        <v>41309.999305555597</v>
      </c>
      <c r="E39" s="10">
        <v>32</v>
      </c>
      <c r="F39" s="10">
        <v>1685.180053</v>
      </c>
      <c r="G39" s="8" t="s">
        <v>9</v>
      </c>
      <c r="H39" s="52" t="s">
        <v>12</v>
      </c>
      <c r="I39" s="53"/>
      <c r="V39" s="21" t="s">
        <v>16</v>
      </c>
    </row>
    <row r="40" spans="1:23">
      <c r="A40" s="11" t="s">
        <v>7</v>
      </c>
      <c r="B40" s="11" t="s">
        <v>8</v>
      </c>
      <c r="C40" s="12">
        <v>41310</v>
      </c>
      <c r="D40" s="12">
        <v>41337.999305555597</v>
      </c>
      <c r="E40" s="13">
        <v>28</v>
      </c>
      <c r="F40" s="13">
        <v>1111.3199460000001</v>
      </c>
      <c r="G40" s="11" t="s">
        <v>9</v>
      </c>
      <c r="H40" s="53"/>
      <c r="I40" s="53"/>
      <c r="V40" s="22" t="s">
        <v>17</v>
      </c>
      <c r="W40" s="4">
        <v>4.7</v>
      </c>
    </row>
    <row r="41" spans="1:23">
      <c r="A41" s="11" t="s">
        <v>7</v>
      </c>
      <c r="B41" s="11" t="s">
        <v>8</v>
      </c>
      <c r="C41" s="12">
        <v>41338</v>
      </c>
      <c r="D41" s="12">
        <v>41367.999305555597</v>
      </c>
      <c r="E41" s="13">
        <v>30</v>
      </c>
      <c r="F41" s="13">
        <v>874.09002599999997</v>
      </c>
      <c r="G41" s="11" t="s">
        <v>9</v>
      </c>
      <c r="H41" s="53"/>
      <c r="I41" s="53"/>
      <c r="V41" s="22" t="s">
        <v>18</v>
      </c>
      <c r="W41" s="4">
        <v>-70</v>
      </c>
    </row>
    <row r="42" spans="1:23">
      <c r="A42" s="11" t="s">
        <v>7</v>
      </c>
      <c r="B42" s="11" t="s">
        <v>8</v>
      </c>
      <c r="C42" s="12">
        <v>41368</v>
      </c>
      <c r="D42" s="12">
        <v>41396.999305555597</v>
      </c>
      <c r="E42" s="13">
        <v>29</v>
      </c>
      <c r="F42" s="13">
        <v>363.07000699999998</v>
      </c>
      <c r="G42" s="11" t="s">
        <v>9</v>
      </c>
      <c r="H42" s="53"/>
      <c r="I42" s="53"/>
    </row>
    <row r="43" spans="1:23">
      <c r="A43" s="11" t="s">
        <v>7</v>
      </c>
      <c r="B43" s="11" t="s">
        <v>8</v>
      </c>
      <c r="C43" s="12">
        <v>41397</v>
      </c>
      <c r="D43" s="12">
        <v>41428.999305555597</v>
      </c>
      <c r="E43" s="13">
        <v>32</v>
      </c>
      <c r="F43" s="13">
        <v>69.25</v>
      </c>
      <c r="G43" s="11" t="s">
        <v>9</v>
      </c>
      <c r="H43" s="53"/>
      <c r="I43" s="53"/>
    </row>
    <row r="44" spans="1:23">
      <c r="A44" s="11" t="s">
        <v>7</v>
      </c>
      <c r="B44" s="11" t="s">
        <v>8</v>
      </c>
      <c r="C44" s="12">
        <v>41429</v>
      </c>
      <c r="D44" s="12">
        <v>41459.999305555597</v>
      </c>
      <c r="E44" s="13">
        <v>31</v>
      </c>
      <c r="F44" s="13">
        <v>3.9999E-2</v>
      </c>
      <c r="G44" s="11" t="s">
        <v>9</v>
      </c>
      <c r="H44" s="53"/>
      <c r="I44" s="53"/>
    </row>
    <row r="45" spans="1:23">
      <c r="A45" s="11" t="s">
        <v>7</v>
      </c>
      <c r="B45" s="11" t="s">
        <v>8</v>
      </c>
      <c r="C45" s="12">
        <v>41460</v>
      </c>
      <c r="D45" s="12">
        <v>41492.999305555597</v>
      </c>
      <c r="E45" s="13">
        <v>33</v>
      </c>
      <c r="F45" s="13">
        <v>0.51999899999999999</v>
      </c>
      <c r="G45" s="11" t="s">
        <v>9</v>
      </c>
      <c r="H45" s="53"/>
      <c r="I45" s="53"/>
    </row>
    <row r="46" spans="1:23">
      <c r="A46" s="11" t="s">
        <v>7</v>
      </c>
      <c r="B46" s="11" t="s">
        <v>8</v>
      </c>
      <c r="C46" s="12">
        <v>41493</v>
      </c>
      <c r="D46" s="12">
        <v>41522.999305555597</v>
      </c>
      <c r="E46" s="13">
        <v>30</v>
      </c>
      <c r="F46" s="13">
        <v>0.109999</v>
      </c>
      <c r="G46" s="11" t="s">
        <v>9</v>
      </c>
      <c r="H46" s="53"/>
      <c r="I46" s="53"/>
    </row>
    <row r="47" spans="1:23">
      <c r="A47" s="1"/>
      <c r="B47" s="1"/>
      <c r="C47" s="2"/>
      <c r="D47" s="2"/>
      <c r="E47" s="3"/>
      <c r="F47" s="3"/>
      <c r="G47" s="1"/>
    </row>
    <row r="48" spans="1:23" ht="60">
      <c r="A48" s="1"/>
      <c r="B48" s="1"/>
      <c r="C48" s="2"/>
      <c r="D48" s="2"/>
      <c r="E48" s="18" t="s">
        <v>4</v>
      </c>
      <c r="F48" s="18" t="s">
        <v>5</v>
      </c>
      <c r="G48" s="18" t="s">
        <v>6</v>
      </c>
      <c r="H48" s="18" t="s">
        <v>21</v>
      </c>
      <c r="I48" s="19" t="s">
        <v>14</v>
      </c>
      <c r="J48" s="28" t="s">
        <v>19</v>
      </c>
      <c r="K48" s="28" t="s">
        <v>20</v>
      </c>
    </row>
    <row r="49" spans="1:23">
      <c r="A49" s="1" t="s">
        <v>7</v>
      </c>
      <c r="B49" s="1" t="s">
        <v>8</v>
      </c>
      <c r="C49" s="2">
        <v>41523</v>
      </c>
      <c r="D49" s="2">
        <v>41548.999305555597</v>
      </c>
      <c r="E49" s="3">
        <v>26</v>
      </c>
      <c r="F49" s="3">
        <v>57.669998</v>
      </c>
      <c r="G49" s="1" t="s">
        <v>9</v>
      </c>
      <c r="H49" s="4">
        <v>38</v>
      </c>
      <c r="I49" s="15">
        <f>H49*E49/30</f>
        <v>32.93333333333333</v>
      </c>
      <c r="J49" s="15">
        <f>($W$40*I49)+$W$41</f>
        <v>84.786666666666662</v>
      </c>
      <c r="K49" s="15">
        <f>J49-F49</f>
        <v>27.116668666666662</v>
      </c>
    </row>
    <row r="50" spans="1:23">
      <c r="A50" s="1" t="s">
        <v>7</v>
      </c>
      <c r="B50" s="1" t="s">
        <v>8</v>
      </c>
      <c r="C50" s="2">
        <v>41549</v>
      </c>
      <c r="D50" s="2">
        <v>41583.999305555597</v>
      </c>
      <c r="E50" s="3">
        <v>35</v>
      </c>
      <c r="F50" s="3">
        <v>369.4</v>
      </c>
      <c r="G50" s="1" t="s">
        <v>9</v>
      </c>
      <c r="H50" s="4">
        <v>192</v>
      </c>
      <c r="I50" s="15">
        <f>H50*E50/31</f>
        <v>216.7741935483871</v>
      </c>
      <c r="J50" s="15">
        <f t="shared" ref="J50:J54" si="3">($W$40*I50)+$W$41</f>
        <v>948.83870967741939</v>
      </c>
      <c r="K50" s="15">
        <f t="shared" ref="K50:K54" si="4">J50-F50</f>
        <v>579.43870967741941</v>
      </c>
    </row>
    <row r="51" spans="1:23">
      <c r="A51" s="1" t="s">
        <v>7</v>
      </c>
      <c r="B51" s="1" t="s">
        <v>8</v>
      </c>
      <c r="C51" s="2">
        <v>41584</v>
      </c>
      <c r="D51" s="2">
        <v>41610.999305555597</v>
      </c>
      <c r="E51" s="3">
        <v>27</v>
      </c>
      <c r="F51" s="3">
        <v>399.44000199999999</v>
      </c>
      <c r="G51" s="1" t="s">
        <v>9</v>
      </c>
      <c r="H51" s="4">
        <v>277</v>
      </c>
      <c r="I51" s="15">
        <f>H51*E51/30</f>
        <v>249.3</v>
      </c>
      <c r="J51" s="15">
        <f t="shared" si="3"/>
        <v>1101.71</v>
      </c>
      <c r="K51" s="15">
        <f t="shared" si="4"/>
        <v>702.26999799999999</v>
      </c>
    </row>
    <row r="52" spans="1:23">
      <c r="A52" s="1" t="s">
        <v>7</v>
      </c>
      <c r="B52" s="1" t="s">
        <v>8</v>
      </c>
      <c r="C52" s="2">
        <v>41611</v>
      </c>
      <c r="D52" s="2">
        <v>41645.999305555597</v>
      </c>
      <c r="E52" s="3">
        <v>35</v>
      </c>
      <c r="F52" s="3">
        <v>529.92999999999995</v>
      </c>
      <c r="G52" s="1" t="s">
        <v>9</v>
      </c>
      <c r="H52" s="4">
        <v>401</v>
      </c>
      <c r="I52" s="15">
        <f>H52*E52/31</f>
        <v>452.74193548387098</v>
      </c>
      <c r="J52" s="15">
        <f t="shared" si="3"/>
        <v>2057.8870967741937</v>
      </c>
      <c r="K52" s="15">
        <f t="shared" si="4"/>
        <v>1527.9570967741938</v>
      </c>
    </row>
    <row r="53" spans="1:23">
      <c r="A53" s="1" t="s">
        <v>7</v>
      </c>
      <c r="B53" s="1" t="s">
        <v>8</v>
      </c>
      <c r="C53" s="2">
        <v>41646</v>
      </c>
      <c r="D53" s="2">
        <v>41673.999305555597</v>
      </c>
      <c r="E53" s="3">
        <v>28</v>
      </c>
      <c r="F53" s="3">
        <v>450.92999200000003</v>
      </c>
      <c r="G53" s="1" t="s">
        <v>9</v>
      </c>
      <c r="H53" s="4">
        <v>342</v>
      </c>
      <c r="I53" s="15">
        <f>H53*E53/31</f>
        <v>308.90322580645159</v>
      </c>
      <c r="J53" s="15">
        <f t="shared" si="3"/>
        <v>1381.8451612903225</v>
      </c>
      <c r="K53" s="15">
        <f t="shared" si="4"/>
        <v>930.91516929032241</v>
      </c>
    </row>
    <row r="54" spans="1:23">
      <c r="A54" s="1" t="s">
        <v>7</v>
      </c>
      <c r="B54" s="1" t="s">
        <v>8</v>
      </c>
      <c r="C54" s="2">
        <v>41674</v>
      </c>
      <c r="D54" s="2">
        <v>41702.999305555597</v>
      </c>
      <c r="E54" s="3">
        <v>29</v>
      </c>
      <c r="F54" s="3">
        <v>432.76000900000003</v>
      </c>
      <c r="G54" s="1" t="s">
        <v>9</v>
      </c>
      <c r="H54" s="4">
        <v>364</v>
      </c>
      <c r="I54" s="15">
        <f>H54*E54/28</f>
        <v>377</v>
      </c>
      <c r="J54" s="15">
        <f t="shared" si="3"/>
        <v>1701.9</v>
      </c>
      <c r="K54" s="15">
        <f t="shared" si="4"/>
        <v>1269.139991</v>
      </c>
    </row>
    <row r="55" spans="1:23">
      <c r="E55" s="6" t="s">
        <v>11</v>
      </c>
      <c r="F55" s="3">
        <f>COUNT(F49:F54)</f>
        <v>6</v>
      </c>
      <c r="G55" s="1"/>
      <c r="H55" s="3">
        <f>COUNT(H49:H54)</f>
        <v>6</v>
      </c>
      <c r="I55" s="3">
        <f>COUNT(I49:I54)</f>
        <v>6</v>
      </c>
      <c r="J55" s="4"/>
      <c r="K55" s="4"/>
    </row>
    <row r="56" spans="1:23">
      <c r="E56" s="6" t="s">
        <v>10</v>
      </c>
      <c r="F56" s="3">
        <f>SUM(F49:F54)</f>
        <v>2240.130001</v>
      </c>
      <c r="G56" s="7" t="s">
        <v>9</v>
      </c>
      <c r="H56" s="3">
        <f>SUM(H49:H54)</f>
        <v>1614</v>
      </c>
      <c r="I56" s="3">
        <f>SUM(I49:I54)</f>
        <v>1637.6526881720429</v>
      </c>
      <c r="J56" s="4"/>
      <c r="K56" s="15">
        <f>SUM(K49:K54)</f>
        <v>5036.8376334086024</v>
      </c>
      <c r="L56" s="17" t="s">
        <v>9</v>
      </c>
    </row>
    <row r="57" spans="1:23">
      <c r="E57" s="14" t="s">
        <v>13</v>
      </c>
      <c r="F57" s="15">
        <f>AVERAGE(F49:F54)</f>
        <v>373.35500016666668</v>
      </c>
      <c r="G57" s="7" t="s">
        <v>9</v>
      </c>
    </row>
    <row r="61" spans="1:23">
      <c r="V61" s="21" t="s">
        <v>16</v>
      </c>
      <c r="W61" s="5"/>
    </row>
    <row r="62" spans="1:23">
      <c r="A62" s="23" t="s">
        <v>23</v>
      </c>
      <c r="V62" s="22" t="s">
        <v>17</v>
      </c>
      <c r="W62" s="4">
        <v>1.06</v>
      </c>
    </row>
    <row r="63" spans="1:23" ht="60">
      <c r="E63" s="18" t="s">
        <v>4</v>
      </c>
      <c r="F63" s="18" t="s">
        <v>5</v>
      </c>
      <c r="G63" s="18" t="s">
        <v>6</v>
      </c>
      <c r="H63" s="18" t="s">
        <v>21</v>
      </c>
      <c r="I63" s="19" t="s">
        <v>14</v>
      </c>
      <c r="J63" s="28" t="s">
        <v>19</v>
      </c>
      <c r="K63" s="28" t="s">
        <v>20</v>
      </c>
      <c r="V63" s="22" t="s">
        <v>18</v>
      </c>
      <c r="W63" s="4">
        <v>83</v>
      </c>
    </row>
    <row r="64" spans="1:23">
      <c r="A64" s="1" t="s">
        <v>7</v>
      </c>
      <c r="B64" s="1" t="s">
        <v>8</v>
      </c>
      <c r="C64" s="2">
        <v>41523</v>
      </c>
      <c r="D64" s="2">
        <v>41548.999305555597</v>
      </c>
      <c r="E64" s="3">
        <v>26</v>
      </c>
      <c r="F64" s="3">
        <v>57.669998</v>
      </c>
      <c r="G64" s="1" t="s">
        <v>9</v>
      </c>
      <c r="H64" s="4">
        <v>38</v>
      </c>
      <c r="I64" s="15">
        <f>H64*E64/30</f>
        <v>32.93333333333333</v>
      </c>
      <c r="J64" s="15">
        <f>($W$40*I64)+$W$41</f>
        <v>84.786666666666662</v>
      </c>
      <c r="K64" s="15">
        <f>J64-F64</f>
        <v>27.116668666666662</v>
      </c>
    </row>
    <row r="65" spans="1:22">
      <c r="A65" s="1" t="s">
        <v>7</v>
      </c>
      <c r="B65" s="1" t="s">
        <v>8</v>
      </c>
      <c r="C65" s="2">
        <v>41549</v>
      </c>
      <c r="D65" s="2">
        <v>41583.999305555597</v>
      </c>
      <c r="E65" s="3">
        <v>35</v>
      </c>
      <c r="F65" s="3">
        <v>369.4</v>
      </c>
      <c r="G65" s="1" t="s">
        <v>9</v>
      </c>
      <c r="H65" s="4">
        <v>192</v>
      </c>
      <c r="I65" s="15">
        <f>H65*E65/31</f>
        <v>216.7741935483871</v>
      </c>
      <c r="J65" s="15">
        <f t="shared" ref="J65:J75" si="5">($W$40*I65)+$W$41</f>
        <v>948.83870967741939</v>
      </c>
      <c r="K65" s="15">
        <f t="shared" ref="K65:K75" si="6">J65-F65</f>
        <v>579.43870967741941</v>
      </c>
      <c r="V65" s="17"/>
    </row>
    <row r="66" spans="1:22">
      <c r="A66" s="1" t="s">
        <v>7</v>
      </c>
      <c r="B66" s="1" t="s">
        <v>8</v>
      </c>
      <c r="C66" s="2">
        <v>41584</v>
      </c>
      <c r="D66" s="2">
        <v>41610.999305555597</v>
      </c>
      <c r="E66" s="3">
        <v>27</v>
      </c>
      <c r="F66" s="3">
        <v>399.44000199999999</v>
      </c>
      <c r="G66" s="1" t="s">
        <v>9</v>
      </c>
      <c r="H66" s="4">
        <v>277</v>
      </c>
      <c r="I66" s="15">
        <f>H66*E66/30</f>
        <v>249.3</v>
      </c>
      <c r="J66" s="15">
        <f t="shared" si="5"/>
        <v>1101.71</v>
      </c>
      <c r="K66" s="15">
        <f t="shared" si="6"/>
        <v>702.26999799999999</v>
      </c>
    </row>
    <row r="67" spans="1:22">
      <c r="A67" s="1" t="s">
        <v>7</v>
      </c>
      <c r="B67" s="1" t="s">
        <v>8</v>
      </c>
      <c r="C67" s="2">
        <v>41611</v>
      </c>
      <c r="D67" s="2">
        <v>41645.999305555597</v>
      </c>
      <c r="E67" s="3">
        <v>35</v>
      </c>
      <c r="F67" s="3">
        <v>529.92999999999995</v>
      </c>
      <c r="G67" s="1" t="s">
        <v>9</v>
      </c>
      <c r="H67" s="4">
        <v>401</v>
      </c>
      <c r="I67" s="15">
        <f>H67*E67/31</f>
        <v>452.74193548387098</v>
      </c>
      <c r="J67" s="15">
        <f t="shared" si="5"/>
        <v>2057.8870967741937</v>
      </c>
      <c r="K67" s="15">
        <f t="shared" si="6"/>
        <v>1527.9570967741938</v>
      </c>
    </row>
    <row r="68" spans="1:22">
      <c r="A68" s="1" t="s">
        <v>7</v>
      </c>
      <c r="B68" s="1" t="s">
        <v>8</v>
      </c>
      <c r="C68" s="2">
        <v>41646</v>
      </c>
      <c r="D68" s="2">
        <v>41673.999305555597</v>
      </c>
      <c r="E68" s="3">
        <v>28</v>
      </c>
      <c r="F68" s="3">
        <v>450.92999200000003</v>
      </c>
      <c r="G68" s="1" t="s">
        <v>9</v>
      </c>
      <c r="H68" s="4">
        <v>342</v>
      </c>
      <c r="I68" s="15">
        <f>H68*E68/31</f>
        <v>308.90322580645159</v>
      </c>
      <c r="J68" s="15">
        <f t="shared" si="5"/>
        <v>1381.8451612903225</v>
      </c>
      <c r="K68" s="15">
        <f t="shared" si="6"/>
        <v>930.91516929032241</v>
      </c>
    </row>
    <row r="69" spans="1:22">
      <c r="A69" s="1" t="s">
        <v>7</v>
      </c>
      <c r="B69" s="1" t="s">
        <v>8</v>
      </c>
      <c r="C69" s="2">
        <v>41674</v>
      </c>
      <c r="D69" s="2">
        <v>41702.999305555597</v>
      </c>
      <c r="E69" s="3">
        <v>29</v>
      </c>
      <c r="F69" s="3">
        <v>432.76000900000003</v>
      </c>
      <c r="G69" s="1" t="s">
        <v>9</v>
      </c>
      <c r="H69" s="4">
        <v>364</v>
      </c>
      <c r="I69" s="15">
        <f>H69*E69/28</f>
        <v>377</v>
      </c>
      <c r="J69" s="15">
        <f t="shared" si="5"/>
        <v>1701.9</v>
      </c>
      <c r="K69" s="15">
        <f t="shared" si="6"/>
        <v>1269.139991</v>
      </c>
    </row>
    <row r="70" spans="1:22">
      <c r="A70" s="1" t="s">
        <v>7</v>
      </c>
      <c r="B70" s="1" t="s">
        <v>8</v>
      </c>
      <c r="C70" s="24">
        <v>40970</v>
      </c>
      <c r="D70" s="24">
        <v>41003.999305555597</v>
      </c>
      <c r="E70" s="3">
        <v>34</v>
      </c>
      <c r="F70" s="25">
        <f t="shared" ref="F70:F75" si="7">(I70*$W$62)+$W$63</f>
        <v>435.26193548387096</v>
      </c>
      <c r="G70" s="1" t="s">
        <v>9</v>
      </c>
      <c r="H70" s="26">
        <v>303</v>
      </c>
      <c r="I70" s="27">
        <f>H70*E70/31</f>
        <v>332.32258064516128</v>
      </c>
      <c r="J70" s="15">
        <f t="shared" si="5"/>
        <v>1491.9161290322581</v>
      </c>
      <c r="K70" s="15">
        <f t="shared" si="6"/>
        <v>1056.6541935483872</v>
      </c>
    </row>
    <row r="71" spans="1:22">
      <c r="A71" s="1" t="s">
        <v>7</v>
      </c>
      <c r="B71" s="1" t="s">
        <v>8</v>
      </c>
      <c r="C71" s="24">
        <v>41004</v>
      </c>
      <c r="D71" s="24">
        <v>41030.999305555597</v>
      </c>
      <c r="E71" s="3">
        <v>27</v>
      </c>
      <c r="F71" s="25">
        <f t="shared" si="7"/>
        <v>254.72</v>
      </c>
      <c r="G71" s="1" t="s">
        <v>9</v>
      </c>
      <c r="H71" s="26">
        <v>180</v>
      </c>
      <c r="I71" s="27">
        <f>H71*E71/30</f>
        <v>162</v>
      </c>
      <c r="J71" s="15">
        <f t="shared" si="5"/>
        <v>691.4</v>
      </c>
      <c r="K71" s="15">
        <f t="shared" si="6"/>
        <v>436.67999999999995</v>
      </c>
    </row>
    <row r="72" spans="1:22">
      <c r="A72" s="1" t="s">
        <v>7</v>
      </c>
      <c r="B72" s="1" t="s">
        <v>8</v>
      </c>
      <c r="C72" s="24">
        <v>41031</v>
      </c>
      <c r="D72" s="24">
        <v>41066.999305555597</v>
      </c>
      <c r="E72" s="3">
        <v>36</v>
      </c>
      <c r="F72" s="25">
        <f t="shared" si="7"/>
        <v>215.94451612903228</v>
      </c>
      <c r="G72" s="1" t="s">
        <v>9</v>
      </c>
      <c r="H72" s="26">
        <v>108</v>
      </c>
      <c r="I72" s="27">
        <f t="shared" ref="I72" si="8">H72*E72/31</f>
        <v>125.41935483870968</v>
      </c>
      <c r="J72" s="15">
        <f t="shared" si="5"/>
        <v>519.47096774193551</v>
      </c>
      <c r="K72" s="15">
        <f t="shared" si="6"/>
        <v>303.5264516129032</v>
      </c>
    </row>
    <row r="73" spans="1:22">
      <c r="A73" s="1" t="s">
        <v>7</v>
      </c>
      <c r="B73" s="1" t="s">
        <v>8</v>
      </c>
      <c r="C73" s="24">
        <v>41067</v>
      </c>
      <c r="D73" s="24">
        <v>41094.999305555597</v>
      </c>
      <c r="E73" s="3">
        <v>28</v>
      </c>
      <c r="F73" s="25">
        <f t="shared" si="7"/>
        <v>138.40266666666668</v>
      </c>
      <c r="G73" s="1" t="s">
        <v>9</v>
      </c>
      <c r="H73" s="26">
        <v>56</v>
      </c>
      <c r="I73" s="27">
        <f t="shared" ref="I73" si="9">H73*E73/30</f>
        <v>52.266666666666666</v>
      </c>
      <c r="J73" s="15">
        <f t="shared" si="5"/>
        <v>175.65333333333334</v>
      </c>
      <c r="K73" s="15">
        <f t="shared" si="6"/>
        <v>37.25066666666666</v>
      </c>
    </row>
    <row r="74" spans="1:22">
      <c r="A74" s="1" t="s">
        <v>7</v>
      </c>
      <c r="B74" s="1" t="s">
        <v>8</v>
      </c>
      <c r="C74" s="24">
        <v>41095</v>
      </c>
      <c r="D74" s="24">
        <v>41122.999305555597</v>
      </c>
      <c r="E74" s="3">
        <v>28</v>
      </c>
      <c r="F74" s="25">
        <f t="shared" si="7"/>
        <v>95.446451612903232</v>
      </c>
      <c r="G74" s="1" t="s">
        <v>9</v>
      </c>
      <c r="H74" s="26">
        <v>13</v>
      </c>
      <c r="I74" s="27">
        <f t="shared" ref="I74" si="10">H74*E74/31</f>
        <v>11.741935483870968</v>
      </c>
      <c r="J74" s="15">
        <f t="shared" si="5"/>
        <v>-14.812903225806451</v>
      </c>
      <c r="K74" s="15">
        <f t="shared" si="6"/>
        <v>-110.25935483870968</v>
      </c>
    </row>
    <row r="75" spans="1:22">
      <c r="A75" s="1" t="s">
        <v>7</v>
      </c>
      <c r="B75" s="1" t="s">
        <v>8</v>
      </c>
      <c r="C75" s="24">
        <v>41123</v>
      </c>
      <c r="D75" s="24">
        <v>41157.999305555597</v>
      </c>
      <c r="E75" s="3">
        <v>35</v>
      </c>
      <c r="F75" s="25">
        <f t="shared" si="7"/>
        <v>91.377419354838707</v>
      </c>
      <c r="G75" s="1" t="s">
        <v>9</v>
      </c>
      <c r="H75" s="26">
        <v>7</v>
      </c>
      <c r="I75" s="27">
        <f>H75*E75/31</f>
        <v>7.903225806451613</v>
      </c>
      <c r="J75" s="15">
        <f t="shared" si="5"/>
        <v>-32.854838709677416</v>
      </c>
      <c r="K75" s="15">
        <f t="shared" si="6"/>
        <v>-124.23225806451612</v>
      </c>
    </row>
    <row r="76" spans="1:22">
      <c r="I76" s="22" t="s">
        <v>11</v>
      </c>
      <c r="J76" s="15">
        <f>COUNT(J64:J75)</f>
        <v>12</v>
      </c>
      <c r="K76" s="15">
        <f>COUNT(K64:K75)</f>
        <v>12</v>
      </c>
    </row>
    <row r="77" spans="1:22">
      <c r="E77" s="22" t="s">
        <v>10</v>
      </c>
      <c r="F77" s="29">
        <f>SUM(F64:F75)</f>
        <v>3471.2829902473122</v>
      </c>
      <c r="I77" s="22" t="s">
        <v>10</v>
      </c>
      <c r="J77" s="30">
        <f>SUM(J64:J75)</f>
        <v>10107.740322580645</v>
      </c>
      <c r="K77" s="30">
        <f>SUM(K64:K75)</f>
        <v>6636.4573323333343</v>
      </c>
      <c r="L77" s="17" t="s">
        <v>9</v>
      </c>
    </row>
    <row r="78" spans="1:22">
      <c r="K78" s="38">
        <f>K77*278</f>
        <v>1844935.138388667</v>
      </c>
      <c r="L78" s="17" t="s">
        <v>32</v>
      </c>
    </row>
    <row r="79" spans="1:22">
      <c r="A79" s="23" t="s">
        <v>22</v>
      </c>
    </row>
  </sheetData>
  <mergeCells count="1">
    <mergeCell ref="H39:I4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A6" sqref="A6"/>
    </sheetView>
  </sheetViews>
  <sheetFormatPr defaultRowHeight="15"/>
  <cols>
    <col min="1" max="1" width="24" customWidth="1"/>
    <col min="2" max="2" width="16.140625" customWidth="1"/>
    <col min="3" max="3" width="16.7109375" customWidth="1"/>
  </cols>
  <sheetData>
    <row r="1" spans="1:3" ht="15.75">
      <c r="A1" s="31" t="s">
        <v>24</v>
      </c>
    </row>
    <row r="2" spans="1:3" ht="15.75">
      <c r="A2" s="31" t="s">
        <v>25</v>
      </c>
    </row>
    <row r="3" spans="1:3" ht="15.75">
      <c r="A3" s="31" t="s">
        <v>26</v>
      </c>
    </row>
    <row r="5" spans="1:3" ht="15.75">
      <c r="A5" s="33" t="s">
        <v>54</v>
      </c>
    </row>
    <row r="8" spans="1:3">
      <c r="A8" s="4" t="s">
        <v>27</v>
      </c>
      <c r="B8" s="4" t="s">
        <v>28</v>
      </c>
      <c r="C8" s="18"/>
    </row>
    <row r="9" spans="1:3">
      <c r="A9" s="36">
        <v>40909</v>
      </c>
      <c r="B9" s="15"/>
      <c r="C9" s="4"/>
    </row>
    <row r="10" spans="1:3">
      <c r="A10" s="36">
        <v>40940</v>
      </c>
      <c r="B10" s="15"/>
      <c r="C10" s="4"/>
    </row>
    <row r="11" spans="1:3">
      <c r="A11" s="36">
        <v>40969</v>
      </c>
      <c r="B11" s="15">
        <v>101653.46132374</v>
      </c>
      <c r="C11" s="4"/>
    </row>
    <row r="12" spans="1:3">
      <c r="A12" s="36">
        <v>41000</v>
      </c>
      <c r="B12" s="15">
        <v>122811.26367188001</v>
      </c>
      <c r="C12" s="4"/>
    </row>
    <row r="13" spans="1:3">
      <c r="A13" s="36">
        <v>41030</v>
      </c>
      <c r="B13" s="15">
        <v>132296.69140625</v>
      </c>
      <c r="C13" s="4"/>
    </row>
    <row r="14" spans="1:3">
      <c r="A14" s="36">
        <v>41061</v>
      </c>
      <c r="B14" s="15">
        <v>125403.03125</v>
      </c>
      <c r="C14" s="4"/>
    </row>
    <row r="15" spans="1:3">
      <c r="A15" s="36">
        <v>41091</v>
      </c>
      <c r="B15" s="15">
        <v>117772.671875</v>
      </c>
      <c r="C15" s="4"/>
    </row>
    <row r="16" spans="1:3">
      <c r="A16" s="36">
        <v>41122</v>
      </c>
      <c r="B16" s="15">
        <v>124968.8515625</v>
      </c>
      <c r="C16" s="4"/>
    </row>
    <row r="17" spans="1:4">
      <c r="A17" s="36">
        <v>41153</v>
      </c>
      <c r="B17" s="15">
        <v>124257.7265625</v>
      </c>
      <c r="C17" s="4"/>
    </row>
    <row r="18" spans="1:4">
      <c r="A18" s="36">
        <v>41183</v>
      </c>
      <c r="B18" s="15">
        <v>127301.921875</v>
      </c>
      <c r="C18" s="4"/>
    </row>
    <row r="19" spans="1:4">
      <c r="A19" s="36">
        <v>41214</v>
      </c>
      <c r="B19" s="15">
        <v>126551.359375</v>
      </c>
      <c r="C19" s="4"/>
    </row>
    <row r="20" spans="1:4">
      <c r="A20" s="36">
        <v>41244</v>
      </c>
      <c r="B20" s="15">
        <v>118138.5</v>
      </c>
      <c r="C20" s="4"/>
    </row>
    <row r="21" spans="1:4">
      <c r="A21" s="35" t="s">
        <v>13</v>
      </c>
      <c r="B21" s="15">
        <f>AVERAGE(B11:B20)</f>
        <v>122115.54789018701</v>
      </c>
    </row>
    <row r="22" spans="1:4">
      <c r="A22" s="36"/>
    </row>
    <row r="23" spans="1:4">
      <c r="A23" s="36"/>
    </row>
    <row r="24" spans="1:4" ht="15" customHeight="1">
      <c r="A24" s="37">
        <v>41275</v>
      </c>
      <c r="B24" s="32">
        <v>131524.203125</v>
      </c>
      <c r="C24" s="54" t="s">
        <v>12</v>
      </c>
      <c r="D24" s="54"/>
    </row>
    <row r="25" spans="1:4">
      <c r="A25" s="37">
        <v>41306</v>
      </c>
      <c r="B25" s="32">
        <v>116488.734375</v>
      </c>
      <c r="C25" s="54"/>
      <c r="D25" s="54"/>
    </row>
    <row r="26" spans="1:4">
      <c r="A26" s="37">
        <v>41334</v>
      </c>
      <c r="B26" s="32">
        <v>119643.453125</v>
      </c>
      <c r="C26" s="54"/>
      <c r="D26" s="54"/>
    </row>
    <row r="27" spans="1:4">
      <c r="A27" s="37">
        <v>41365</v>
      </c>
      <c r="B27" s="32">
        <v>100182.203125</v>
      </c>
      <c r="C27" s="54"/>
      <c r="D27" s="54"/>
    </row>
    <row r="28" spans="1:4">
      <c r="A28" s="37">
        <v>41395</v>
      </c>
      <c r="B28" s="32">
        <v>58429.421875</v>
      </c>
      <c r="C28" s="54"/>
      <c r="D28" s="54"/>
    </row>
    <row r="29" spans="1:4">
      <c r="A29" s="37">
        <v>41426</v>
      </c>
      <c r="B29" s="32">
        <v>47756</v>
      </c>
      <c r="C29" s="54"/>
      <c r="D29" s="54"/>
    </row>
    <row r="30" spans="1:4">
      <c r="A30" s="37">
        <v>41456</v>
      </c>
      <c r="B30" s="32">
        <v>46446.875</v>
      </c>
      <c r="C30" s="54"/>
      <c r="D30" s="54"/>
    </row>
    <row r="31" spans="1:4">
      <c r="A31" s="37">
        <v>41487</v>
      </c>
      <c r="B31" s="32">
        <v>47316.28125</v>
      </c>
      <c r="C31" s="54"/>
      <c r="D31" s="54"/>
    </row>
    <row r="32" spans="1:4">
      <c r="A32" s="37"/>
      <c r="B32" s="32"/>
      <c r="C32" s="34"/>
      <c r="D32" s="34"/>
    </row>
    <row r="33" spans="1:4">
      <c r="A33" s="37"/>
      <c r="B33" s="32"/>
      <c r="C33" s="34"/>
      <c r="D33" s="34"/>
    </row>
    <row r="34" spans="1:4">
      <c r="A34" s="4" t="s">
        <v>27</v>
      </c>
      <c r="B34" s="4" t="s">
        <v>28</v>
      </c>
      <c r="C34" s="34"/>
      <c r="D34" s="34"/>
    </row>
    <row r="35" spans="1:4">
      <c r="A35" s="36">
        <v>41518</v>
      </c>
      <c r="B35" s="15">
        <v>48929.75</v>
      </c>
      <c r="C35" s="34"/>
      <c r="D35" s="34"/>
    </row>
    <row r="36" spans="1:4">
      <c r="A36" s="36">
        <v>41548</v>
      </c>
      <c r="B36" s="15">
        <v>61730.625</v>
      </c>
    </row>
    <row r="37" spans="1:4">
      <c r="A37" s="36">
        <v>41579</v>
      </c>
      <c r="B37" s="15">
        <v>57381.5625</v>
      </c>
    </row>
    <row r="38" spans="1:4">
      <c r="A38" s="36">
        <v>41609</v>
      </c>
      <c r="B38" s="15">
        <v>50288.21875</v>
      </c>
    </row>
    <row r="39" spans="1:4">
      <c r="A39" s="36">
        <v>41640</v>
      </c>
      <c r="B39" s="15">
        <v>53056.75</v>
      </c>
    </row>
    <row r="40" spans="1:4">
      <c r="A40" s="36">
        <v>41671</v>
      </c>
      <c r="B40" s="15">
        <v>52188.75</v>
      </c>
    </row>
    <row r="41" spans="1:4">
      <c r="A41" s="36">
        <v>41699</v>
      </c>
      <c r="B41" s="15">
        <v>59266.375</v>
      </c>
    </row>
    <row r="42" spans="1:4">
      <c r="A42" s="36">
        <v>41730</v>
      </c>
      <c r="B42" s="15">
        <v>52716.15625</v>
      </c>
    </row>
    <row r="43" spans="1:4">
      <c r="A43" s="35" t="s">
        <v>13</v>
      </c>
      <c r="B43" s="15">
        <f>AVERAGE(B33:B42)</f>
        <v>54444.7734375</v>
      </c>
    </row>
    <row r="44" spans="1:4">
      <c r="B44" s="15"/>
    </row>
    <row r="45" spans="1:4">
      <c r="A45" s="17" t="s">
        <v>30</v>
      </c>
      <c r="B45" s="15">
        <f>B21-B43</f>
        <v>67670.774452687008</v>
      </c>
      <c r="C45" s="17" t="s">
        <v>32</v>
      </c>
    </row>
    <row r="46" spans="1:4">
      <c r="A46" s="17" t="s">
        <v>31</v>
      </c>
      <c r="B46" s="15">
        <f>B45*12</f>
        <v>812049.2934322441</v>
      </c>
      <c r="C46" s="17" t="s">
        <v>32</v>
      </c>
    </row>
    <row r="47" spans="1:4">
      <c r="A47" s="17" t="s">
        <v>31</v>
      </c>
      <c r="B47" s="15">
        <f>B46/278</f>
        <v>2921.0406238569931</v>
      </c>
      <c r="C47" s="17" t="s">
        <v>9</v>
      </c>
    </row>
    <row r="48" spans="1:4">
      <c r="B48" s="15"/>
    </row>
    <row r="49" spans="1:1">
      <c r="A49" s="17" t="s">
        <v>29</v>
      </c>
    </row>
  </sheetData>
  <mergeCells count="1">
    <mergeCell ref="C24:D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K25" sqref="J25:K26"/>
    </sheetView>
  </sheetViews>
  <sheetFormatPr defaultRowHeight="15"/>
  <cols>
    <col min="1" max="1" width="11.140625" customWidth="1"/>
  </cols>
  <sheetData>
    <row r="1" spans="1:11">
      <c r="A1" s="39" t="s">
        <v>33</v>
      </c>
    </row>
    <row r="2" spans="1:11">
      <c r="E2" s="55" t="s">
        <v>34</v>
      </c>
      <c r="F2" s="56"/>
      <c r="G2" s="56"/>
      <c r="H2" s="56"/>
      <c r="I2" s="56"/>
      <c r="J2" s="56"/>
      <c r="K2" s="57"/>
    </row>
    <row r="3" spans="1:11">
      <c r="E3" s="40"/>
      <c r="F3" s="41"/>
      <c r="G3" s="41"/>
      <c r="H3" s="41"/>
      <c r="I3" s="41"/>
      <c r="J3" s="41"/>
      <c r="K3" s="42"/>
    </row>
    <row r="4" spans="1:11">
      <c r="A4" s="39" t="s">
        <v>8</v>
      </c>
      <c r="E4" s="43" t="s">
        <v>37</v>
      </c>
      <c r="F4" s="41"/>
      <c r="G4" s="41"/>
      <c r="H4" s="41"/>
      <c r="I4" s="41"/>
      <c r="J4" s="41"/>
      <c r="K4" s="42"/>
    </row>
    <row r="5" spans="1:11">
      <c r="A5" s="15">
        <f>'Natural Gas'!K78</f>
        <v>1844935.138388667</v>
      </c>
      <c r="B5" s="17" t="s">
        <v>40</v>
      </c>
      <c r="E5" s="40">
        <v>10.61</v>
      </c>
      <c r="F5" s="44" t="s">
        <v>35</v>
      </c>
      <c r="G5" s="44" t="s">
        <v>36</v>
      </c>
      <c r="H5" s="41"/>
      <c r="I5" s="41"/>
      <c r="J5" s="41"/>
      <c r="K5" s="42"/>
    </row>
    <row r="6" spans="1:11">
      <c r="A6" s="15">
        <f>'Natural Gas'!K77</f>
        <v>6636.4573323333343</v>
      </c>
      <c r="B6" s="17" t="s">
        <v>41</v>
      </c>
      <c r="E6" s="43" t="s">
        <v>38</v>
      </c>
      <c r="F6" s="41"/>
      <c r="G6" s="41"/>
      <c r="H6" s="41"/>
      <c r="I6" s="41"/>
      <c r="J6" s="41"/>
      <c r="K6" s="42"/>
    </row>
    <row r="7" spans="1:11">
      <c r="A7" s="15">
        <f>A6*E5</f>
        <v>70412.812296056669</v>
      </c>
      <c r="B7" s="17" t="s">
        <v>42</v>
      </c>
      <c r="E7" s="40">
        <f>E5+1.25</f>
        <v>11.86</v>
      </c>
      <c r="F7" s="44" t="s">
        <v>35</v>
      </c>
      <c r="G7" s="44" t="s">
        <v>36</v>
      </c>
      <c r="H7" s="41"/>
      <c r="I7" s="41"/>
      <c r="J7" s="41"/>
      <c r="K7" s="42"/>
    </row>
    <row r="8" spans="1:11">
      <c r="A8" s="15">
        <f>A6*E7</f>
        <v>78708.383961473344</v>
      </c>
      <c r="B8" s="17" t="s">
        <v>43</v>
      </c>
      <c r="E8" s="40"/>
      <c r="F8" s="41"/>
      <c r="G8" s="41"/>
      <c r="H8" s="41"/>
      <c r="I8" s="41"/>
      <c r="J8" s="41"/>
      <c r="K8" s="42"/>
    </row>
    <row r="9" spans="1:11">
      <c r="E9" s="43" t="s">
        <v>47</v>
      </c>
      <c r="F9" s="41"/>
      <c r="G9" s="41"/>
      <c r="H9" s="41"/>
      <c r="I9" s="41"/>
      <c r="J9" s="41"/>
      <c r="K9" s="42"/>
    </row>
    <row r="10" spans="1:11">
      <c r="A10" s="39" t="s">
        <v>26</v>
      </c>
      <c r="E10" s="40">
        <v>9.7100000000000006E-2</v>
      </c>
      <c r="F10" s="44" t="s">
        <v>39</v>
      </c>
      <c r="G10" s="44" t="s">
        <v>36</v>
      </c>
      <c r="H10" s="41"/>
      <c r="I10" s="41"/>
      <c r="J10" s="41"/>
      <c r="K10" s="42"/>
    </row>
    <row r="11" spans="1:11">
      <c r="A11" s="15">
        <f>Electricity!B46</f>
        <v>812049.2934322441</v>
      </c>
      <c r="B11" s="17" t="s">
        <v>40</v>
      </c>
      <c r="E11" s="43" t="s">
        <v>48</v>
      </c>
      <c r="F11" s="41"/>
      <c r="G11" s="41"/>
      <c r="H11" s="41"/>
      <c r="I11" s="41"/>
      <c r="J11" s="41"/>
      <c r="K11" s="42"/>
    </row>
    <row r="12" spans="1:11">
      <c r="A12" s="15">
        <f>Electricity!B47</f>
        <v>2921.0406238569931</v>
      </c>
      <c r="B12" s="17" t="s">
        <v>41</v>
      </c>
      <c r="E12" s="49">
        <f>0.0486*1.06*1.04*1.035*1.03</f>
        <v>5.7115377071999998E-2</v>
      </c>
      <c r="F12" s="44" t="s">
        <v>39</v>
      </c>
      <c r="G12" s="44" t="s">
        <v>36</v>
      </c>
      <c r="H12" s="41"/>
      <c r="I12" s="41"/>
      <c r="J12" s="41"/>
      <c r="K12" s="42"/>
    </row>
    <row r="13" spans="1:11">
      <c r="A13" s="15">
        <f>A11*E10</f>
        <v>78849.986392270905</v>
      </c>
      <c r="B13" s="17" t="s">
        <v>42</v>
      </c>
      <c r="E13" s="40"/>
      <c r="F13" s="41"/>
      <c r="G13" s="41"/>
      <c r="H13" s="41"/>
      <c r="I13" s="41"/>
      <c r="J13" s="41"/>
      <c r="K13" s="42"/>
    </row>
    <row r="14" spans="1:11">
      <c r="A14" s="15">
        <f>A11*E12</f>
        <v>46380.501595433794</v>
      </c>
      <c r="B14" s="17" t="s">
        <v>43</v>
      </c>
      <c r="E14" s="43" t="s">
        <v>49</v>
      </c>
      <c r="F14" s="41"/>
      <c r="G14" s="41"/>
      <c r="H14" s="41"/>
      <c r="I14" s="41"/>
      <c r="J14" s="41"/>
      <c r="K14" s="42"/>
    </row>
    <row r="15" spans="1:11">
      <c r="E15" s="40">
        <v>9.9499999999999993</v>
      </c>
      <c r="F15" s="44" t="s">
        <v>51</v>
      </c>
      <c r="G15" s="44"/>
      <c r="H15" s="41"/>
      <c r="I15" s="41"/>
      <c r="J15" s="41"/>
      <c r="K15" s="42"/>
    </row>
    <row r="16" spans="1:11">
      <c r="A16" s="39" t="s">
        <v>33</v>
      </c>
      <c r="E16" s="43" t="s">
        <v>50</v>
      </c>
      <c r="F16" s="41"/>
      <c r="G16" s="41"/>
      <c r="H16" s="41"/>
      <c r="I16" s="41"/>
      <c r="J16" s="41"/>
      <c r="K16" s="42"/>
    </row>
    <row r="17" spans="1:11">
      <c r="A17" s="15">
        <f>A5+A11</f>
        <v>2656984.4318209114</v>
      </c>
      <c r="B17" s="17" t="s">
        <v>40</v>
      </c>
      <c r="E17" s="48">
        <f>9.95*1.06*1.04*1.035*1.03</f>
        <v>11.693374523999999</v>
      </c>
      <c r="F17" s="45" t="s">
        <v>51</v>
      </c>
      <c r="G17" s="45"/>
      <c r="H17" s="46"/>
      <c r="I17" s="46"/>
      <c r="J17" s="46"/>
      <c r="K17" s="47"/>
    </row>
    <row r="18" spans="1:11">
      <c r="A18" s="15">
        <f>A6+A12</f>
        <v>9557.4979561903274</v>
      </c>
      <c r="B18" s="17" t="s">
        <v>41</v>
      </c>
    </row>
    <row r="19" spans="1:11">
      <c r="A19" s="15">
        <f>A7+A13</f>
        <v>149262.79868832757</v>
      </c>
      <c r="B19" s="17" t="s">
        <v>42</v>
      </c>
      <c r="C19" s="17" t="s">
        <v>53</v>
      </c>
    </row>
    <row r="20" spans="1:11">
      <c r="A20" s="15">
        <f>A8+A14</f>
        <v>125088.88555690713</v>
      </c>
      <c r="B20" s="17" t="s">
        <v>43</v>
      </c>
    </row>
    <row r="24" spans="1:11">
      <c r="A24" s="39" t="s">
        <v>44</v>
      </c>
    </row>
    <row r="25" spans="1:11">
      <c r="A25" s="4">
        <v>150</v>
      </c>
      <c r="B25" s="17" t="s">
        <v>45</v>
      </c>
      <c r="C25" s="50" t="s">
        <v>52</v>
      </c>
      <c r="D25" s="51"/>
    </row>
    <row r="26" spans="1:11">
      <c r="A26" s="15">
        <f>A25*E15</f>
        <v>1492.5</v>
      </c>
      <c r="B26" s="17" t="s">
        <v>42</v>
      </c>
    </row>
    <row r="27" spans="1:11">
      <c r="A27" s="15">
        <f>A25*E17</f>
        <v>1754.0061785999999</v>
      </c>
      <c r="B27" s="17" t="s">
        <v>43</v>
      </c>
    </row>
    <row r="30" spans="1:11">
      <c r="A30" s="39" t="s">
        <v>46</v>
      </c>
    </row>
    <row r="32" spans="1:11">
      <c r="A32" s="15">
        <f>A19+A26</f>
        <v>150755.29868832757</v>
      </c>
      <c r="B32" s="17" t="s">
        <v>42</v>
      </c>
    </row>
    <row r="33" spans="1:2">
      <c r="A33" s="15">
        <f>A20+A27</f>
        <v>126842.89173550713</v>
      </c>
      <c r="B33" s="17" t="s">
        <v>43</v>
      </c>
    </row>
  </sheetData>
  <mergeCells count="1">
    <mergeCell ref="E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Natural Gas</vt:lpstr>
      <vt:lpstr>Electricity</vt:lpstr>
      <vt:lpstr>Total Energy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Hebert</dc:creator>
  <cp:lastModifiedBy>Alexandre Hebert</cp:lastModifiedBy>
  <dcterms:created xsi:type="dcterms:W3CDTF">2014-05-02T16:31:57Z</dcterms:created>
  <dcterms:modified xsi:type="dcterms:W3CDTF">2014-05-06T15:00:38Z</dcterms:modified>
</cp:coreProperties>
</file>